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入力用" sheetId="1" r:id="rId1"/>
    <sheet name="印刷用" sheetId="2" r:id="rId2"/>
    <sheet name="サンプル" sheetId="3" r:id="rId3"/>
  </sheets>
  <definedNames>
    <definedName name="_xlnm.Print_Area" localSheetId="2">'サンプル'!$A$1:$H$41</definedName>
    <definedName name="_xlnm.Print_Area" localSheetId="1">'印刷用'!$A$1:$H$41</definedName>
    <definedName name="_xlnm.Print_Area" localSheetId="0">'入力用'!$B$1:$O$35</definedName>
    <definedName name="サンプル">'入力用'!$I$3:$O$35</definedName>
    <definedName name="入力">'入力用'!$A$3:$G$35</definedName>
  </definedNames>
  <calcPr fullCalcOnLoad="1"/>
</workbook>
</file>

<file path=xl/comments1.xml><?xml version="1.0" encoding="utf-8"?>
<comments xmlns="http://schemas.openxmlformats.org/spreadsheetml/2006/main">
  <authors>
    <author>井上公彦</author>
  </authors>
  <commentList>
    <comment ref="C5" authorId="0">
      <text>
        <r>
          <rPr>
            <b/>
            <sz val="9"/>
            <rFont val="ＭＳ Ｐゴシック"/>
            <family val="3"/>
          </rPr>
          <t>○○区
○○市
○○町
○○村
学校法人○○
のように入力</t>
        </r>
      </text>
    </comment>
  </commentList>
</comments>
</file>

<file path=xl/sharedStrings.xml><?xml version="1.0" encoding="utf-8"?>
<sst xmlns="http://schemas.openxmlformats.org/spreadsheetml/2006/main" count="207" uniqueCount="128">
  <si>
    <t>学校名</t>
  </si>
  <si>
    <t>ふりがな</t>
  </si>
  <si>
    <t>学校長名</t>
  </si>
  <si>
    <t>学校住所</t>
  </si>
  <si>
    <t>監督名</t>
  </si>
  <si>
    <t>NO</t>
  </si>
  <si>
    <t>２</t>
  </si>
  <si>
    <t>２</t>
  </si>
  <si>
    <t>３</t>
  </si>
  <si>
    <t>３</t>
  </si>
  <si>
    <t>４</t>
  </si>
  <si>
    <t>氏名</t>
  </si>
  <si>
    <t>学年</t>
  </si>
  <si>
    <t>生年月日</t>
  </si>
  <si>
    <t>氏　　名</t>
  </si>
  <si>
    <t>５</t>
  </si>
  <si>
    <t>５</t>
  </si>
  <si>
    <t>６</t>
  </si>
  <si>
    <t>６</t>
  </si>
  <si>
    <t>７</t>
  </si>
  <si>
    <t>７</t>
  </si>
  <si>
    <t>８</t>
  </si>
  <si>
    <t>８</t>
  </si>
  <si>
    <t>申込先</t>
  </si>
  <si>
    <t>　上記の者は、本大会の参加について保護者の同意を得ているので、参加を申し込みます。また、本大会プログラム作成及び成績上位者の報道発表並びにホームページにおける氏名、学校名、学年等の個人情報の記載についての本人及び保護者の同意を得ています。</t>
  </si>
  <si>
    <t>上記の通り申込みいたします。</t>
  </si>
  <si>
    <t>４</t>
  </si>
  <si>
    <t>監督
連絡先</t>
  </si>
  <si>
    <t>学校電話・FAX</t>
  </si>
  <si>
    <t xml:space="preserve">
職　印</t>
  </si>
  <si>
    <t>備考（個人情報の記載について、同意が得られない場合、その選手名と具体的な内容を記入してください。）
例：○○○○　報道機関・ホームページへの個人名・写真の情報掲載を同意できない。</t>
  </si>
  <si>
    <t>都県名</t>
  </si>
  <si>
    <t>学校設立者名</t>
  </si>
  <si>
    <t>名前の右のセルにふりがなを入力してください。
詳しくは右側の入力例を参考に入力をしてください。</t>
  </si>
  <si>
    <t>男女の別</t>
  </si>
  <si>
    <t>中学校名</t>
  </si>
  <si>
    <t>学校長名</t>
  </si>
  <si>
    <t>学校住所１
（区・郡・市名）</t>
  </si>
  <si>
    <t>学校住所２
（上記以降）</t>
  </si>
  <si>
    <t>学校住所
郵便番号</t>
  </si>
  <si>
    <t>学校電話番号</t>
  </si>
  <si>
    <t>学校ＦＡＸ</t>
  </si>
  <si>
    <t>監督連絡先（自宅）</t>
  </si>
  <si>
    <t>監督連絡先（携帯）</t>
  </si>
  <si>
    <t>選手</t>
  </si>
  <si>
    <t>入力例</t>
  </si>
  <si>
    <t>申込日（記入日）</t>
  </si>
  <si>
    <t>男子</t>
  </si>
  <si>
    <t>学校設立団体名</t>
  </si>
  <si>
    <t>生年月日
H◎.▼.□</t>
  </si>
  <si>
    <t>都県大会
順位</t>
  </si>
  <si>
    <t>１</t>
  </si>
  <si>
    <t>都県大会
順位</t>
  </si>
  <si>
    <t>依頼する場合の監督名</t>
  </si>
  <si>
    <t>左記監督の所属学校</t>
  </si>
  <si>
    <t>依頼する場合の監督
及びその所属学校名</t>
  </si>
  <si>
    <t>←携帯電話をお持ちでない方、普段お使いでない方は記入ください。</t>
  </si>
  <si>
    <t>←緊急時に事務局から連絡する場合に必要です。できるだけ入力を！</t>
  </si>
  <si>
    <t>学校長が認めるアドバイザー</t>
  </si>
  <si>
    <t>・アドバイザーはどの選手のアドバイスを行ってもよい。
・アドバイザーは選手の数を超えて登録できない。</t>
  </si>
  <si>
    <t>学校長が認める
アドバイザー１</t>
  </si>
  <si>
    <t>学校長が認める
アドバイザー２</t>
  </si>
  <si>
    <t>学校長が認める
アドバイザー３</t>
  </si>
  <si>
    <t>学校長が認める
アドバイザー４</t>
  </si>
  <si>
    <t>学校長が認める
アドバイザー５</t>
  </si>
  <si>
    <t>備考（個人情報の記載について、同意が得られない場合、その選手名と具体的な内容を記入してください。）</t>
  </si>
  <si>
    <t xml:space="preserve">備考（個人情報の記載について、同意が得られない場合、その選手名と具体的な内容を記入してください。）
</t>
  </si>
  <si>
    <r>
      <t>この列には</t>
    </r>
    <r>
      <rPr>
        <b/>
        <sz val="9"/>
        <rFont val="ＭＳ 明朝"/>
        <family val="1"/>
      </rPr>
      <t>ふりがな</t>
    </r>
    <r>
      <rPr>
        <sz val="9"/>
        <rFont val="ＭＳ 明朝"/>
        <family val="1"/>
      </rPr>
      <t>を入力してください。</t>
    </r>
  </si>
  <si>
    <t>個人戦</t>
  </si>
  <si>
    <t>←ここにはふりがなではなく
所属学校を記入</t>
  </si>
  <si>
    <t>個人戦</t>
  </si>
  <si>
    <t>ふりがな</t>
  </si>
  <si>
    <t>ふりがな</t>
  </si>
  <si>
    <t>NO</t>
  </si>
  <si>
    <t>２</t>
  </si>
  <si>
    <t>３</t>
  </si>
  <si>
    <t>４</t>
  </si>
  <si>
    <t>５</t>
  </si>
  <si>
    <t>６</t>
  </si>
  <si>
    <t>ふりがな</t>
  </si>
  <si>
    <t>７</t>
  </si>
  <si>
    <t>８</t>
  </si>
  <si>
    <t>○○　太郎</t>
  </si>
  <si>
    <t>○○　たろう</t>
  </si>
  <si>
    <t>　　第40回関東中学校卓球大会　　参加申込書</t>
  </si>
  <si>
    <t>平成24年度東京大会</t>
  </si>
  <si>
    <t>〒120-0005</t>
  </si>
  <si>
    <t>東京都足立区綾瀬 3-23-14</t>
  </si>
  <si>
    <t>「第４０回関東中学校卓球大会事務局　相原　武志」　宛</t>
  </si>
  <si>
    <t>電話：０３－３６０５－６５６５</t>
  </si>
  <si>
    <t>ＦＡＸ：０３－３６０５－６５６６</t>
  </si>
  <si>
    <t>足立区立東綾瀬中学校</t>
  </si>
  <si>
    <t>E-mail：eastayase_40th_kannchuu@yahoo.co.jp</t>
  </si>
  <si>
    <t>東京都</t>
  </si>
  <si>
    <t>足立区</t>
  </si>
  <si>
    <t>あだちく</t>
  </si>
  <si>
    <t>東綾瀬中学校</t>
  </si>
  <si>
    <t>ひがしあやせちゅうがっこう</t>
  </si>
  <si>
    <t>１００－００００</t>
  </si>
  <si>
    <t>０３－００００－００００</t>
  </si>
  <si>
    <t>０３－１１１１－１１１１</t>
  </si>
  <si>
    <t>足立　一郎</t>
  </si>
  <si>
    <t>あだち　いちろう</t>
  </si>
  <si>
    <t>東京　太郎</t>
  </si>
  <si>
    <t>港区立東京中学校</t>
  </si>
  <si>
    <t>東京　一郎</t>
  </si>
  <si>
    <t>東京　次郎</t>
  </si>
  <si>
    <t>東京　三郎</t>
  </si>
  <si>
    <t>東京　四郎</t>
  </si>
  <si>
    <t>東京　五郎</t>
  </si>
  <si>
    <t>とうきょう　じろう</t>
  </si>
  <si>
    <t>とうきょう　さぶろう</t>
  </si>
  <si>
    <t>とうきょう　しろう</t>
  </si>
  <si>
    <t>とうきょう　ごろう</t>
  </si>
  <si>
    <t>足立区立東綾瀬中学校</t>
  </si>
  <si>
    <t>「第４０回関東中学校卓球大会事務局　相原　武志」　宛</t>
  </si>
  <si>
    <t>〒120-0005</t>
  </si>
  <si>
    <t>東京都足立区綾瀬３－２３－１４</t>
  </si>
  <si>
    <t>E-mail：eastayase_40th_kannchuu@yahoo.co.jp</t>
  </si>
  <si>
    <t>平成24年東京大会</t>
  </si>
  <si>
    <t>とうきょう　いちろう</t>
  </si>
  <si>
    <t>第４０回　関東中学校卓球大会　参加申込書（入力用・ｅ－ｍａｉｌ用）</t>
  </si>
  <si>
    <t>東綾瀬１－１</t>
  </si>
  <si>
    <t>ひがしあやせ１－１</t>
  </si>
  <si>
    <t>０９０－００００－００００</t>
  </si>
  <si>
    <t>０３－００００－００００</t>
  </si>
  <si>
    <t>大田　美江</t>
  </si>
  <si>
    <t>おおた　よしえ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</si>
</sst>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57">
    <font>
      <sz val="11"/>
      <name val="ＭＳ Ｐゴシック"/>
      <family val="3"/>
    </font>
    <font>
      <sz val="6"/>
      <name val="ＭＳ Ｐゴシック"/>
      <family val="3"/>
    </font>
    <font>
      <sz val="11"/>
      <name val="ＭＳ 明朝"/>
      <family val="1"/>
    </font>
    <font>
      <sz val="22"/>
      <name val="ＭＳ 明朝"/>
      <family val="1"/>
    </font>
    <font>
      <sz val="16"/>
      <name val="ＭＳ 明朝"/>
      <family val="1"/>
    </font>
    <font>
      <sz val="9"/>
      <name val="ＭＳ 明朝"/>
      <family val="1"/>
    </font>
    <font>
      <sz val="8"/>
      <name val="ＭＳ 明朝"/>
      <family val="1"/>
    </font>
    <font>
      <sz val="12"/>
      <name val="ＭＳ 明朝"/>
      <family val="1"/>
    </font>
    <font>
      <sz val="24"/>
      <name val="ＭＳ 明朝"/>
      <family val="1"/>
    </font>
    <font>
      <sz val="10"/>
      <name val="ＭＳ 明朝"/>
      <family val="1"/>
    </font>
    <font>
      <sz val="20"/>
      <name val="ＭＳ 明朝"/>
      <family val="1"/>
    </font>
    <font>
      <u val="single"/>
      <sz val="11"/>
      <color indexed="12"/>
      <name val="ＭＳ Ｐゴシック"/>
      <family val="3"/>
    </font>
    <font>
      <b/>
      <sz val="9"/>
      <name val="ＭＳ Ｐゴシック"/>
      <family val="3"/>
    </font>
    <font>
      <sz val="11"/>
      <color indexed="13"/>
      <name val="ＭＳ 明朝"/>
      <family val="1"/>
    </font>
    <font>
      <u val="single"/>
      <sz val="11"/>
      <color indexed="36"/>
      <name val="ＭＳ Ｐゴシック"/>
      <family val="3"/>
    </font>
    <font>
      <b/>
      <sz val="10"/>
      <color indexed="12"/>
      <name val="ＭＳ 明朝"/>
      <family val="1"/>
    </font>
    <font>
      <sz val="14"/>
      <name val="ＭＳ 明朝"/>
      <family val="1"/>
    </font>
    <font>
      <b/>
      <sz val="9"/>
      <color indexed="12"/>
      <name val="ＭＳ 明朝"/>
      <family val="1"/>
    </font>
    <font>
      <b/>
      <sz val="9"/>
      <name val="ＭＳ 明朝"/>
      <family val="1"/>
    </font>
    <font>
      <sz val="11"/>
      <color indexed="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style="dotted"/>
    </border>
    <border>
      <left style="medium"/>
      <right style="thin"/>
      <top style="dotted"/>
      <bottom style="thin"/>
    </border>
    <border>
      <left style="medium"/>
      <right style="thin"/>
      <top style="thin"/>
      <bottom style="dotted"/>
    </border>
    <border>
      <left style="medium"/>
      <right style="thin"/>
      <top style="thin"/>
      <bottom style="thin"/>
    </border>
    <border>
      <left style="thin"/>
      <right>
        <color indexed="63"/>
      </right>
      <top style="thin"/>
      <bottom style="dotted"/>
    </border>
    <border>
      <left style="thin"/>
      <right style="thin"/>
      <top>
        <color indexed="63"/>
      </top>
      <bottom style="thin"/>
    </border>
    <border>
      <left style="medium"/>
      <right style="medium"/>
      <top style="medium"/>
      <bottom style="medium"/>
    </border>
    <border>
      <left style="medium"/>
      <right style="thin"/>
      <top>
        <color indexed="63"/>
      </top>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dotted"/>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color indexed="63"/>
      </right>
      <top style="thin"/>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tted"/>
      <right>
        <color indexed="63"/>
      </right>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4" fillId="0" borderId="0" applyNumberFormat="0" applyFill="0" applyBorder="0" applyAlignment="0" applyProtection="0"/>
    <xf numFmtId="0" fontId="55" fillId="31" borderId="0" applyNumberFormat="0" applyBorder="0" applyAlignment="0" applyProtection="0"/>
  </cellStyleXfs>
  <cellXfs count="152">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4" xfId="0" applyFont="1" applyBorder="1" applyAlignment="1">
      <alignment horizontal="center" vertical="center"/>
    </xf>
    <xf numFmtId="0" fontId="2" fillId="0" borderId="15" xfId="0" applyFont="1" applyBorder="1" applyAlignment="1">
      <alignment horizontal="center" vertical="center"/>
    </xf>
    <xf numFmtId="0" fontId="7" fillId="0" borderId="0" xfId="0" applyFont="1" applyAlignment="1">
      <alignment horizontal="right" vertical="center"/>
    </xf>
    <xf numFmtId="0" fontId="2" fillId="32" borderId="0" xfId="0" applyFont="1" applyFill="1" applyAlignment="1">
      <alignment vertical="center"/>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2" fillId="32" borderId="10" xfId="0" applyFont="1" applyFill="1" applyBorder="1" applyAlignment="1" quotePrefix="1">
      <alignment horizontal="center" vertical="center"/>
    </xf>
    <xf numFmtId="0" fontId="2" fillId="32" borderId="10" xfId="0" applyFont="1" applyFill="1" applyBorder="1" applyAlignment="1">
      <alignment vertical="center"/>
    </xf>
    <xf numFmtId="0" fontId="2" fillId="3" borderId="0" xfId="0" applyFont="1" applyFill="1" applyAlignment="1">
      <alignment vertical="center"/>
    </xf>
    <xf numFmtId="0" fontId="2" fillId="3" borderId="10" xfId="0" applyFont="1" applyFill="1" applyBorder="1" applyAlignment="1">
      <alignment vertical="center"/>
    </xf>
    <xf numFmtId="0" fontId="2" fillId="3" borderId="1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0" xfId="0" applyFont="1" applyFill="1" applyBorder="1" applyAlignment="1" quotePrefix="1">
      <alignment horizontal="center" vertical="center"/>
    </xf>
    <xf numFmtId="0" fontId="2" fillId="3" borderId="0" xfId="0" applyFont="1" applyFill="1" applyBorder="1" applyAlignment="1">
      <alignment vertical="center"/>
    </xf>
    <xf numFmtId="0" fontId="2" fillId="3" borderId="10" xfId="0" applyFont="1" applyFill="1" applyBorder="1" applyAlignment="1">
      <alignment vertical="center" wrapText="1"/>
    </xf>
    <xf numFmtId="0" fontId="2" fillId="32" borderId="0" xfId="0" applyFont="1" applyFill="1" applyBorder="1" applyAlignment="1">
      <alignment vertical="center"/>
    </xf>
    <xf numFmtId="0" fontId="9" fillId="0" borderId="16" xfId="0" applyFont="1" applyBorder="1" applyAlignment="1">
      <alignment vertical="center"/>
    </xf>
    <xf numFmtId="176" fontId="2" fillId="0" borderId="0" xfId="0" applyNumberFormat="1" applyFont="1" applyAlignment="1">
      <alignment horizontal="distributed" vertical="center"/>
    </xf>
    <xf numFmtId="0" fontId="6" fillId="0" borderId="10" xfId="0" applyFont="1" applyBorder="1" applyAlignment="1" applyProtection="1">
      <alignment vertical="center" wrapText="1"/>
      <protection locked="0"/>
    </xf>
    <xf numFmtId="0" fontId="2" fillId="4" borderId="10" xfId="0" applyFont="1" applyFill="1" applyBorder="1" applyAlignment="1">
      <alignment vertical="center"/>
    </xf>
    <xf numFmtId="0" fontId="5" fillId="4" borderId="10" xfId="0" applyFont="1" applyFill="1" applyBorder="1" applyAlignment="1">
      <alignment vertical="center"/>
    </xf>
    <xf numFmtId="0" fontId="6" fillId="4" borderId="10" xfId="0" applyFont="1" applyFill="1" applyBorder="1" applyAlignment="1">
      <alignment vertical="center" wrapText="1"/>
    </xf>
    <xf numFmtId="0" fontId="2" fillId="4" borderId="10" xfId="0" applyFont="1" applyFill="1" applyBorder="1" applyAlignment="1">
      <alignment horizontal="center" vertical="center"/>
    </xf>
    <xf numFmtId="176" fontId="2" fillId="4" borderId="10" xfId="0" applyNumberFormat="1" applyFont="1" applyFill="1" applyBorder="1" applyAlignment="1">
      <alignment horizontal="left" vertical="center"/>
    </xf>
    <xf numFmtId="0" fontId="13" fillId="32" borderId="0" xfId="0" applyFont="1" applyFill="1" applyAlignment="1">
      <alignment vertical="center"/>
    </xf>
    <xf numFmtId="0" fontId="2" fillId="0" borderId="10" xfId="0" applyFont="1" applyBorder="1" applyAlignment="1" applyProtection="1">
      <alignment vertical="center" shrinkToFit="1"/>
      <protection locked="0"/>
    </xf>
    <xf numFmtId="0" fontId="2" fillId="32" borderId="0" xfId="0" applyFont="1" applyFill="1" applyBorder="1" applyAlignment="1">
      <alignment horizontal="center" vertical="center"/>
    </xf>
    <xf numFmtId="0" fontId="2" fillId="32" borderId="0" xfId="0" applyFont="1" applyFill="1" applyBorder="1" applyAlignment="1" applyProtection="1">
      <alignment horizontal="center" vertical="center"/>
      <protection locked="0"/>
    </xf>
    <xf numFmtId="177" fontId="2" fillId="4" borderId="10" xfId="0" applyNumberFormat="1"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177" fontId="2" fillId="0" borderId="17" xfId="0" applyNumberFormat="1" applyFont="1" applyBorder="1" applyAlignment="1">
      <alignment horizontal="center" vertical="center" shrinkToFit="1"/>
    </xf>
    <xf numFmtId="0" fontId="2" fillId="0" borderId="17" xfId="0" applyFont="1" applyBorder="1" applyAlignment="1">
      <alignment horizontal="center" vertical="center"/>
    </xf>
    <xf numFmtId="0" fontId="4" fillId="0" borderId="18" xfId="0" applyFont="1" applyBorder="1" applyAlignment="1">
      <alignment vertical="center"/>
    </xf>
    <xf numFmtId="0" fontId="2" fillId="0" borderId="0" xfId="0" applyFont="1" applyBorder="1" applyAlignment="1">
      <alignment vertical="center"/>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20" xfId="0" applyFont="1" applyBorder="1" applyAlignment="1">
      <alignment vertical="center"/>
    </xf>
    <xf numFmtId="0" fontId="9" fillId="32" borderId="10" xfId="0" applyFont="1" applyFill="1" applyBorder="1" applyAlignment="1">
      <alignment horizontal="center" vertical="center" wrapText="1"/>
    </xf>
    <xf numFmtId="0" fontId="9" fillId="32" borderId="10" xfId="0" applyFont="1" applyFill="1" applyBorder="1" applyAlignment="1">
      <alignment vertical="center" wrapText="1"/>
    </xf>
    <xf numFmtId="0" fontId="2" fillId="0" borderId="21" xfId="0" applyFont="1" applyBorder="1" applyAlignment="1">
      <alignment horizontal="left" vertical="center"/>
    </xf>
    <xf numFmtId="0" fontId="5" fillId="32" borderId="10" xfId="0" applyFont="1" applyFill="1" applyBorder="1" applyAlignment="1">
      <alignment horizontal="center" vertical="center" wrapText="1"/>
    </xf>
    <xf numFmtId="0" fontId="9" fillId="32" borderId="10" xfId="0" applyFont="1" applyFill="1" applyBorder="1" applyAlignment="1">
      <alignment horizontal="center" vertical="center"/>
    </xf>
    <xf numFmtId="0" fontId="5" fillId="0" borderId="10" xfId="0" applyFont="1" applyBorder="1" applyAlignment="1" applyProtection="1">
      <alignment vertical="center" shrinkToFit="1"/>
      <protection locked="0"/>
    </xf>
    <xf numFmtId="0" fontId="2" fillId="32" borderId="10" xfId="0" applyFont="1" applyFill="1" applyBorder="1" applyAlignment="1">
      <alignment vertical="center" shrinkToFit="1"/>
    </xf>
    <xf numFmtId="0" fontId="2" fillId="0" borderId="10" xfId="0" applyFont="1" applyFill="1" applyBorder="1" applyAlignment="1" applyProtection="1">
      <alignment vertical="center" shrinkToFit="1"/>
      <protection locked="0"/>
    </xf>
    <xf numFmtId="176" fontId="2" fillId="0" borderId="10" xfId="0" applyNumberFormat="1" applyFont="1" applyFill="1" applyBorder="1" applyAlignment="1" applyProtection="1">
      <alignment horizontal="left" vertical="center" shrinkToFit="1"/>
      <protection locked="0"/>
    </xf>
    <xf numFmtId="0" fontId="2" fillId="0" borderId="10" xfId="0" applyFont="1" applyFill="1" applyBorder="1" applyAlignment="1" applyProtection="1">
      <alignment horizontal="center" vertical="center" shrinkToFit="1"/>
      <protection locked="0"/>
    </xf>
    <xf numFmtId="177" fontId="2" fillId="0" borderId="10" xfId="0" applyNumberFormat="1" applyFont="1" applyFill="1" applyBorder="1" applyAlignment="1" applyProtection="1">
      <alignment horizontal="center" vertical="center" shrinkToFit="1"/>
      <protection locked="0"/>
    </xf>
    <xf numFmtId="0" fontId="9" fillId="0" borderId="10" xfId="0" applyFont="1" applyFill="1" applyBorder="1" applyAlignment="1" applyProtection="1">
      <alignment vertical="center" shrinkToFit="1"/>
      <protection locked="0"/>
    </xf>
    <xf numFmtId="0" fontId="5" fillId="3" borderId="10" xfId="0" applyFont="1" applyFill="1" applyBorder="1" applyAlignment="1">
      <alignment horizontal="center" vertical="center"/>
    </xf>
    <xf numFmtId="0" fontId="5"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5" fillId="5" borderId="10" xfId="0" applyFont="1" applyFill="1" applyBorder="1" applyAlignment="1">
      <alignment horizontal="center" vertical="center"/>
    </xf>
    <xf numFmtId="0" fontId="7" fillId="0" borderId="18" xfId="0" applyFont="1" applyBorder="1" applyAlignment="1">
      <alignment horizontal="right" vertical="center"/>
    </xf>
    <xf numFmtId="0" fontId="2" fillId="0" borderId="18" xfId="0" applyFont="1" applyBorder="1" applyAlignment="1">
      <alignment horizontal="center" vertical="center"/>
    </xf>
    <xf numFmtId="0" fontId="2" fillId="0" borderId="22" xfId="0" applyFont="1" applyBorder="1" applyAlignment="1">
      <alignment vertical="center"/>
    </xf>
    <xf numFmtId="0" fontId="6" fillId="0" borderId="16" xfId="0" applyFont="1" applyBorder="1" applyAlignment="1">
      <alignment vertical="center" shrinkToFi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9" fillId="3" borderId="0" xfId="0" applyFont="1" applyFill="1" applyAlignment="1">
      <alignment vertical="center"/>
    </xf>
    <xf numFmtId="0" fontId="2" fillId="4" borderId="10" xfId="0" applyFont="1" applyFill="1" applyBorder="1" applyAlignment="1">
      <alignment vertical="center" shrinkToFit="1"/>
    </xf>
    <xf numFmtId="49" fontId="2" fillId="0" borderId="13" xfId="0" applyNumberFormat="1" applyFont="1" applyBorder="1" applyAlignment="1">
      <alignment horizontal="center" vertical="center"/>
    </xf>
    <xf numFmtId="0" fontId="15" fillId="32" borderId="26" xfId="0" applyFont="1" applyFill="1" applyBorder="1" applyAlignment="1">
      <alignment vertical="center" wrapText="1"/>
    </xf>
    <xf numFmtId="0" fontId="15" fillId="32" borderId="0" xfId="0" applyFont="1" applyFill="1" applyBorder="1" applyAlignment="1">
      <alignment vertical="center" wrapText="1"/>
    </xf>
    <xf numFmtId="0" fontId="15" fillId="32" borderId="0" xfId="0" applyFont="1" applyFill="1" applyBorder="1" applyAlignment="1">
      <alignment vertical="center"/>
    </xf>
    <xf numFmtId="0" fontId="17" fillId="32" borderId="27" xfId="0" applyFont="1" applyFill="1" applyBorder="1" applyAlignment="1">
      <alignment vertical="center" wrapText="1"/>
    </xf>
    <xf numFmtId="0" fontId="17" fillId="32" borderId="25"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7" fillId="3" borderId="0" xfId="0" applyFont="1" applyFill="1" applyAlignment="1">
      <alignment vertical="center" wrapText="1"/>
    </xf>
    <xf numFmtId="0" fontId="8" fillId="3" borderId="0" xfId="0" applyFont="1" applyFill="1" applyAlignment="1">
      <alignment vertical="center" wrapText="1"/>
    </xf>
    <xf numFmtId="0" fontId="9" fillId="32" borderId="10" xfId="0" applyFont="1" applyFill="1" applyBorder="1" applyAlignment="1">
      <alignment vertical="center" wrapText="1"/>
    </xf>
    <xf numFmtId="0" fontId="6" fillId="3" borderId="10" xfId="0" applyFont="1" applyFill="1" applyBorder="1" applyAlignment="1">
      <alignment vertical="center" wrapText="1"/>
    </xf>
    <xf numFmtId="0" fontId="2" fillId="0" borderId="28" xfId="0" applyFont="1" applyFill="1" applyBorder="1" applyAlignment="1" applyProtection="1">
      <alignment vertical="center" shrinkToFit="1"/>
      <protection locked="0"/>
    </xf>
    <xf numFmtId="0" fontId="2" fillId="0" borderId="29" xfId="0" applyFont="1" applyFill="1" applyBorder="1" applyAlignment="1" applyProtection="1">
      <alignment vertical="center" shrinkToFit="1"/>
      <protection locked="0"/>
    </xf>
    <xf numFmtId="0" fontId="2" fillId="0" borderId="11" xfId="0" applyFont="1" applyBorder="1" applyAlignment="1">
      <alignment vertical="center"/>
    </xf>
    <xf numFmtId="0" fontId="2" fillId="0" borderId="17" xfId="0" applyFont="1" applyBorder="1" applyAlignment="1">
      <alignment vertical="center"/>
    </xf>
    <xf numFmtId="0" fontId="16" fillId="0" borderId="30" xfId="0" applyFont="1" applyBorder="1" applyAlignment="1">
      <alignment vertical="center"/>
    </xf>
    <xf numFmtId="0" fontId="16"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vertical="center"/>
    </xf>
    <xf numFmtId="0" fontId="2" fillId="0" borderId="35" xfId="0" applyFont="1" applyBorder="1" applyAlignment="1">
      <alignment vertical="center"/>
    </xf>
    <xf numFmtId="0" fontId="10" fillId="0" borderId="21"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2" fillId="0" borderId="37" xfId="0" applyFont="1" applyBorder="1" applyAlignment="1">
      <alignment vertical="center"/>
    </xf>
    <xf numFmtId="0" fontId="2" fillId="0" borderId="2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vertical="center" wrapText="1"/>
    </xf>
    <xf numFmtId="0" fontId="2" fillId="0" borderId="41" xfId="0" applyFont="1" applyBorder="1" applyAlignment="1">
      <alignment vertical="center"/>
    </xf>
    <xf numFmtId="0" fontId="2" fillId="0" borderId="42" xfId="0" applyFont="1" applyBorder="1" applyAlignment="1">
      <alignment vertical="center"/>
    </xf>
    <xf numFmtId="0" fontId="6" fillId="0" borderId="43" xfId="0" applyFont="1" applyBorder="1" applyAlignment="1">
      <alignment vertical="center"/>
    </xf>
    <xf numFmtId="0" fontId="6" fillId="0" borderId="36" xfId="0" applyFont="1" applyBorder="1" applyAlignment="1">
      <alignment vertical="center"/>
    </xf>
    <xf numFmtId="0" fontId="6" fillId="0" borderId="23" xfId="0" applyFont="1" applyBorder="1" applyAlignment="1">
      <alignment vertical="center"/>
    </xf>
    <xf numFmtId="176" fontId="2" fillId="0" borderId="0" xfId="0" applyNumberFormat="1" applyFont="1" applyAlignment="1">
      <alignment horizontal="distributed"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vertical="center" wrapText="1"/>
    </xf>
    <xf numFmtId="0" fontId="9" fillId="0" borderId="49" xfId="0" applyFont="1" applyBorder="1" applyAlignment="1">
      <alignment vertical="center" wrapText="1"/>
    </xf>
    <xf numFmtId="0" fontId="9" fillId="0" borderId="50" xfId="0" applyFont="1" applyBorder="1" applyAlignment="1">
      <alignment vertical="center" wrapText="1"/>
    </xf>
    <xf numFmtId="0" fontId="9" fillId="0" borderId="51" xfId="0" applyFont="1" applyBorder="1" applyAlignment="1">
      <alignment vertical="center" wrapText="1"/>
    </xf>
    <xf numFmtId="0" fontId="9" fillId="0" borderId="28" xfId="0" applyFont="1" applyBorder="1" applyAlignment="1">
      <alignment horizontal="center" vertical="center"/>
    </xf>
    <xf numFmtId="0" fontId="9" fillId="0" borderId="39" xfId="0" applyFont="1" applyBorder="1" applyAlignment="1">
      <alignment horizontal="center" vertical="center"/>
    </xf>
    <xf numFmtId="0" fontId="2" fillId="0" borderId="52"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15"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19" xfId="0" applyFont="1" applyBorder="1" applyAlignment="1">
      <alignment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9" xfId="0" applyFont="1" applyBorder="1" applyAlignment="1">
      <alignment horizontal="center" vertical="center"/>
    </xf>
    <xf numFmtId="0" fontId="9" fillId="0" borderId="21" xfId="0" applyFont="1" applyBorder="1" applyAlignment="1">
      <alignment vertical="center" wrapText="1"/>
    </xf>
    <xf numFmtId="0" fontId="9" fillId="0" borderId="23" xfId="0" applyFont="1" applyBorder="1" applyAlignment="1">
      <alignment vertical="center"/>
    </xf>
    <xf numFmtId="0" fontId="9" fillId="0" borderId="26" xfId="0" applyFont="1" applyBorder="1" applyAlignment="1">
      <alignment vertical="center"/>
    </xf>
    <xf numFmtId="0" fontId="9" fillId="0" borderId="20" xfId="0" applyFont="1" applyBorder="1" applyAlignment="1">
      <alignment vertical="center"/>
    </xf>
    <xf numFmtId="0" fontId="9" fillId="0" borderId="27" xfId="0" applyFont="1" applyBorder="1" applyAlignment="1">
      <alignment vertical="center"/>
    </xf>
    <xf numFmtId="0" fontId="9" fillId="0" borderId="24" xfId="0" applyFont="1" applyBorder="1" applyAlignment="1">
      <alignment vertical="center"/>
    </xf>
    <xf numFmtId="0" fontId="2" fillId="0" borderId="21" xfId="0" applyFont="1" applyBorder="1" applyAlignment="1">
      <alignment vertical="center" wrapText="1"/>
    </xf>
    <xf numFmtId="0" fontId="2" fillId="0" borderId="23" xfId="0" applyFont="1" applyBorder="1" applyAlignment="1">
      <alignment vertical="center"/>
    </xf>
    <xf numFmtId="0" fontId="2" fillId="0" borderId="26" xfId="0" applyFont="1" applyBorder="1" applyAlignment="1">
      <alignment vertical="center"/>
    </xf>
    <xf numFmtId="0" fontId="2" fillId="0" borderId="20"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9525</xdr:rowOff>
    </xdr:from>
    <xdr:to>
      <xdr:col>3</xdr:col>
      <xdr:colOff>1866900</xdr:colOff>
      <xdr:row>3</xdr:row>
      <xdr:rowOff>314325</xdr:rowOff>
    </xdr:to>
    <xdr:sp>
      <xdr:nvSpPr>
        <xdr:cNvPr id="1" name="AutoShape 18"/>
        <xdr:cNvSpPr>
          <a:spLocks/>
        </xdr:cNvSpPr>
      </xdr:nvSpPr>
      <xdr:spPr>
        <a:xfrm>
          <a:off x="3448050" y="1095375"/>
          <a:ext cx="1257300" cy="304800"/>
        </a:xfrm>
        <a:prstGeom prst="downArrow">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0</xdr:row>
      <xdr:rowOff>142875</xdr:rowOff>
    </xdr:from>
    <xdr:to>
      <xdr:col>8</xdr:col>
      <xdr:colOff>85725</xdr:colOff>
      <xdr:row>0</xdr:row>
      <xdr:rowOff>361950</xdr:rowOff>
    </xdr:to>
    <xdr:sp>
      <xdr:nvSpPr>
        <xdr:cNvPr id="2" name="AutoShape 17"/>
        <xdr:cNvSpPr>
          <a:spLocks/>
        </xdr:cNvSpPr>
      </xdr:nvSpPr>
      <xdr:spPr>
        <a:xfrm>
          <a:off x="3695700" y="142875"/>
          <a:ext cx="3419475" cy="219075"/>
        </a:xfrm>
        <a:prstGeom prst="rightArrow">
          <a:avLst>
            <a:gd name="adj1" fmla="val 40569"/>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781050</xdr:colOff>
      <xdr:row>2</xdr:row>
      <xdr:rowOff>0</xdr:rowOff>
    </xdr:to>
    <xdr:sp>
      <xdr:nvSpPr>
        <xdr:cNvPr id="1" name="Rectangle 1"/>
        <xdr:cNvSpPr>
          <a:spLocks/>
        </xdr:cNvSpPr>
      </xdr:nvSpPr>
      <xdr:spPr>
        <a:xfrm>
          <a:off x="752475" y="323850"/>
          <a:ext cx="781050" cy="304800"/>
        </a:xfrm>
        <a:prstGeom prst="rect">
          <a:avLst/>
        </a:prstGeom>
        <a:solidFill>
          <a:srgbClr val="FFFFFF"/>
        </a:solidFill>
        <a:ln w="190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男子・女子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781050</xdr:colOff>
      <xdr:row>2</xdr:row>
      <xdr:rowOff>0</xdr:rowOff>
    </xdr:to>
    <xdr:sp>
      <xdr:nvSpPr>
        <xdr:cNvPr id="1" name="Rectangle 1"/>
        <xdr:cNvSpPr>
          <a:spLocks/>
        </xdr:cNvSpPr>
      </xdr:nvSpPr>
      <xdr:spPr>
        <a:xfrm>
          <a:off x="752475" y="323850"/>
          <a:ext cx="781050" cy="304800"/>
        </a:xfrm>
        <a:prstGeom prst="rect">
          <a:avLst/>
        </a:prstGeom>
        <a:solidFill>
          <a:srgbClr val="FFFFFF"/>
        </a:solidFill>
        <a:ln w="190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男子・女子</a:t>
          </a:r>
        </a:p>
      </xdr:txBody>
    </xdr:sp>
    <xdr:clientData/>
  </xdr:twoCellAnchor>
  <xdr:twoCellAnchor>
    <xdr:from>
      <xdr:col>0</xdr:col>
      <xdr:colOff>152400</xdr:colOff>
      <xdr:row>1</xdr:row>
      <xdr:rowOff>209550</xdr:rowOff>
    </xdr:from>
    <xdr:to>
      <xdr:col>3</xdr:col>
      <xdr:colOff>47625</xdr:colOff>
      <xdr:row>5</xdr:row>
      <xdr:rowOff>180975</xdr:rowOff>
    </xdr:to>
    <xdr:sp>
      <xdr:nvSpPr>
        <xdr:cNvPr id="2" name="WordArt 2"/>
        <xdr:cNvSpPr>
          <a:spLocks/>
        </xdr:cNvSpPr>
      </xdr:nvSpPr>
      <xdr:spPr>
        <a:xfrm>
          <a:off x="152400" y="533400"/>
          <a:ext cx="2343150" cy="1028700"/>
        </a:xfrm>
        <a:prstGeom prst="rect"/>
        <a:noFill/>
      </xdr:spPr>
      <xdr:txBody>
        <a:bodyPr fromWordArt="1" wrap="none" lIns="91440" tIns="45720" rIns="91440" bIns="45720">
          <a:prstTxWarp prst="textSlantUp"/>
        </a:bodyPr>
        <a:p>
          <a:pPr algn="ctr"/>
          <a:r>
            <a:rPr sz="3600" kern="10" spc="0">
              <a:ln w="9525" cmpd="sng">
                <a:noFill/>
              </a:ln>
              <a:solidFill>
                <a:srgbClr val="C0C0C0"/>
              </a:solidFill>
              <a:latin typeface="ＭＳ Ｐゴシック"/>
              <a:cs typeface="ＭＳ Ｐゴシック"/>
            </a:rPr>
            <a:t>サンプル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showRowColHeaders="0" zoomScalePageLayoutView="0" workbookViewId="0" topLeftCell="B1">
      <selection activeCell="C6" sqref="C6"/>
    </sheetView>
  </sheetViews>
  <sheetFormatPr defaultColWidth="9.00390625" defaultRowHeight="13.5"/>
  <cols>
    <col min="1" max="1" width="3.50390625" style="2" hidden="1" customWidth="1"/>
    <col min="2" max="2" width="15.875" style="2" customWidth="1"/>
    <col min="3" max="3" width="21.375" style="2" customWidth="1"/>
    <col min="4" max="4" width="29.75390625" style="2" customWidth="1"/>
    <col min="5" max="5" width="5.50390625" style="2" customWidth="1"/>
    <col min="6" max="6" width="11.875" style="2" customWidth="1"/>
    <col min="7" max="7" width="7.625" style="2" customWidth="1"/>
    <col min="8" max="8" width="1.37890625" style="2" customWidth="1"/>
    <col min="9" max="9" width="2.50390625" style="2" hidden="1" customWidth="1"/>
    <col min="10" max="10" width="14.50390625" style="2" customWidth="1"/>
    <col min="11" max="11" width="26.375" style="2" customWidth="1"/>
    <col min="12" max="12" width="22.25390625" style="2" customWidth="1"/>
    <col min="13" max="13" width="4.25390625" style="2" customWidth="1"/>
    <col min="14" max="14" width="10.50390625" style="2" customWidth="1"/>
    <col min="15" max="15" width="8.625" style="2" customWidth="1"/>
    <col min="16" max="16384" width="9.00390625" style="2" customWidth="1"/>
  </cols>
  <sheetData>
    <row r="1" spans="2:15" ht="39" customHeight="1">
      <c r="B1" s="80" t="s">
        <v>33</v>
      </c>
      <c r="C1" s="80"/>
      <c r="D1" s="80"/>
      <c r="E1" s="80"/>
      <c r="F1" s="16"/>
      <c r="G1" s="16"/>
      <c r="H1" s="16"/>
      <c r="J1" s="81" t="s">
        <v>45</v>
      </c>
      <c r="K1" s="81"/>
      <c r="L1" s="81"/>
      <c r="M1" s="81"/>
      <c r="N1" s="16"/>
      <c r="O1" s="16"/>
    </row>
    <row r="2" spans="2:15" ht="21" customHeight="1">
      <c r="B2" s="11" t="s">
        <v>121</v>
      </c>
      <c r="C2" s="11"/>
      <c r="D2" s="11"/>
      <c r="E2" s="11"/>
      <c r="F2" s="11"/>
      <c r="G2" s="11"/>
      <c r="H2" s="11"/>
      <c r="J2" s="21"/>
      <c r="K2" s="21"/>
      <c r="L2" s="16"/>
      <c r="M2" s="16"/>
      <c r="N2" s="16"/>
      <c r="O2" s="16"/>
    </row>
    <row r="3" spans="1:15" ht="25.5" customHeight="1">
      <c r="A3" s="2">
        <v>1</v>
      </c>
      <c r="B3" s="50" t="s">
        <v>34</v>
      </c>
      <c r="C3" s="33"/>
      <c r="D3" s="62" t="s">
        <v>67</v>
      </c>
      <c r="E3" s="11"/>
      <c r="F3" s="11"/>
      <c r="G3" s="11"/>
      <c r="H3" s="11"/>
      <c r="I3" s="2">
        <v>1</v>
      </c>
      <c r="J3" s="58" t="s">
        <v>34</v>
      </c>
      <c r="K3" s="27" t="s">
        <v>47</v>
      </c>
      <c r="L3" s="16"/>
      <c r="M3" s="16"/>
      <c r="N3" s="16"/>
      <c r="O3" s="16"/>
    </row>
    <row r="4" spans="1:15" ht="25.5" customHeight="1">
      <c r="A4" s="2">
        <v>2</v>
      </c>
      <c r="B4" s="50" t="s">
        <v>31</v>
      </c>
      <c r="C4" s="33"/>
      <c r="D4" s="11"/>
      <c r="E4" s="11"/>
      <c r="F4" s="11"/>
      <c r="G4" s="11"/>
      <c r="H4" s="11"/>
      <c r="I4" s="2">
        <v>2</v>
      </c>
      <c r="J4" s="58" t="s">
        <v>31</v>
      </c>
      <c r="K4" s="27" t="s">
        <v>93</v>
      </c>
      <c r="L4" s="16"/>
      <c r="M4" s="16"/>
      <c r="N4" s="16"/>
      <c r="O4" s="16"/>
    </row>
    <row r="5" spans="1:15" ht="25.5" customHeight="1">
      <c r="A5" s="2">
        <v>4</v>
      </c>
      <c r="B5" s="46" t="s">
        <v>48</v>
      </c>
      <c r="C5" s="33"/>
      <c r="D5" s="33"/>
      <c r="E5" s="32" t="str">
        <f>IF(LEFT(C5,4)="学校法人","　","立　")</f>
        <v>立　</v>
      </c>
      <c r="F5" s="32" t="str">
        <f>IF(LEFT(C5,4)="学校法人","　","りつ　")</f>
        <v>りつ　</v>
      </c>
      <c r="G5" s="11"/>
      <c r="H5" s="11"/>
      <c r="I5" s="2">
        <v>4</v>
      </c>
      <c r="J5" s="59" t="s">
        <v>32</v>
      </c>
      <c r="K5" s="27" t="s">
        <v>94</v>
      </c>
      <c r="L5" s="27" t="s">
        <v>95</v>
      </c>
      <c r="M5" s="70" t="str">
        <f>IF(LEFT(K5,4)="学校法人","　","立　")</f>
        <v>立　</v>
      </c>
      <c r="N5" s="70" t="str">
        <f>IF(LEFT(K5,4)="学校法人","　","りつ　")</f>
        <v>りつ　</v>
      </c>
      <c r="O5" s="16"/>
    </row>
    <row r="6" spans="1:15" ht="33" customHeight="1">
      <c r="A6" s="2">
        <v>5</v>
      </c>
      <c r="B6" s="50" t="s">
        <v>35</v>
      </c>
      <c r="C6" s="33"/>
      <c r="D6" s="33"/>
      <c r="E6" s="11"/>
      <c r="F6" s="11"/>
      <c r="G6" s="11"/>
      <c r="H6" s="11"/>
      <c r="I6" s="2">
        <v>5</v>
      </c>
      <c r="J6" s="58" t="s">
        <v>35</v>
      </c>
      <c r="K6" s="27" t="s">
        <v>96</v>
      </c>
      <c r="L6" s="71" t="s">
        <v>97</v>
      </c>
      <c r="M6" s="16"/>
      <c r="N6" s="16"/>
      <c r="O6" s="16"/>
    </row>
    <row r="7" spans="1:15" ht="25.5" customHeight="1">
      <c r="A7" s="2">
        <v>6</v>
      </c>
      <c r="B7" s="50" t="s">
        <v>36</v>
      </c>
      <c r="C7" s="33"/>
      <c r="D7" s="33"/>
      <c r="E7" s="11"/>
      <c r="F7" s="11"/>
      <c r="G7" s="11"/>
      <c r="H7" s="11"/>
      <c r="I7" s="2">
        <v>6</v>
      </c>
      <c r="J7" s="58" t="s">
        <v>36</v>
      </c>
      <c r="K7" s="27" t="s">
        <v>82</v>
      </c>
      <c r="L7" s="27" t="s">
        <v>83</v>
      </c>
      <c r="M7" s="16"/>
      <c r="N7" s="16"/>
      <c r="O7" s="16"/>
    </row>
    <row r="8" spans="1:15" ht="30.75" customHeight="1">
      <c r="A8" s="2">
        <v>7</v>
      </c>
      <c r="B8" s="46" t="s">
        <v>39</v>
      </c>
      <c r="C8" s="33"/>
      <c r="D8" s="11"/>
      <c r="E8" s="11"/>
      <c r="F8" s="11"/>
      <c r="G8" s="11"/>
      <c r="H8" s="11"/>
      <c r="I8" s="2">
        <v>7</v>
      </c>
      <c r="J8" s="59" t="s">
        <v>39</v>
      </c>
      <c r="K8" s="27" t="s">
        <v>98</v>
      </c>
      <c r="L8" s="16"/>
      <c r="M8" s="16"/>
      <c r="N8" s="16"/>
      <c r="O8" s="16"/>
    </row>
    <row r="9" spans="1:15" ht="30.75" customHeight="1">
      <c r="A9" s="2">
        <v>8</v>
      </c>
      <c r="B9" s="46" t="s">
        <v>37</v>
      </c>
      <c r="C9" s="33"/>
      <c r="D9" s="33"/>
      <c r="E9" s="11"/>
      <c r="F9" s="11"/>
      <c r="G9" s="11"/>
      <c r="H9" s="11"/>
      <c r="I9" s="2">
        <v>8</v>
      </c>
      <c r="J9" s="59" t="s">
        <v>37</v>
      </c>
      <c r="K9" s="27" t="s">
        <v>94</v>
      </c>
      <c r="L9" s="27" t="s">
        <v>95</v>
      </c>
      <c r="M9" s="16"/>
      <c r="N9" s="16"/>
      <c r="O9" s="16"/>
    </row>
    <row r="10" spans="1:15" ht="27.75" customHeight="1">
      <c r="A10" s="2">
        <v>9</v>
      </c>
      <c r="B10" s="46" t="s">
        <v>38</v>
      </c>
      <c r="C10" s="51"/>
      <c r="D10" s="26"/>
      <c r="E10" s="11"/>
      <c r="F10" s="11"/>
      <c r="G10" s="11"/>
      <c r="H10" s="11"/>
      <c r="I10" s="2">
        <v>9</v>
      </c>
      <c r="J10" s="59" t="s">
        <v>38</v>
      </c>
      <c r="K10" s="28" t="s">
        <v>122</v>
      </c>
      <c r="L10" s="29" t="s">
        <v>123</v>
      </c>
      <c r="M10" s="16"/>
      <c r="N10" s="16"/>
      <c r="O10" s="16"/>
    </row>
    <row r="11" spans="1:15" ht="25.5" customHeight="1">
      <c r="A11" s="2">
        <v>10</v>
      </c>
      <c r="B11" s="50" t="s">
        <v>40</v>
      </c>
      <c r="C11" s="33"/>
      <c r="D11" s="23"/>
      <c r="E11" s="11"/>
      <c r="F11" s="11"/>
      <c r="G11" s="11"/>
      <c r="H11" s="11"/>
      <c r="I11" s="2">
        <v>10</v>
      </c>
      <c r="J11" s="58" t="s">
        <v>40</v>
      </c>
      <c r="K11" s="27" t="s">
        <v>99</v>
      </c>
      <c r="L11" s="21"/>
      <c r="M11" s="16"/>
      <c r="N11" s="16"/>
      <c r="O11" s="16"/>
    </row>
    <row r="12" spans="1:15" ht="25.5" customHeight="1">
      <c r="A12" s="2">
        <v>11</v>
      </c>
      <c r="B12" s="50" t="s">
        <v>41</v>
      </c>
      <c r="C12" s="33"/>
      <c r="D12" s="23"/>
      <c r="E12" s="11"/>
      <c r="F12" s="11"/>
      <c r="G12" s="11"/>
      <c r="H12" s="11"/>
      <c r="I12" s="2">
        <v>11</v>
      </c>
      <c r="J12" s="58" t="s">
        <v>41</v>
      </c>
      <c r="K12" s="27" t="s">
        <v>100</v>
      </c>
      <c r="L12" s="21"/>
      <c r="M12" s="16"/>
      <c r="N12" s="16"/>
      <c r="O12" s="16"/>
    </row>
    <row r="13" spans="1:15" ht="25.5" customHeight="1">
      <c r="A13" s="2">
        <v>12</v>
      </c>
      <c r="B13" s="50" t="s">
        <v>4</v>
      </c>
      <c r="C13" s="33"/>
      <c r="D13" s="33"/>
      <c r="E13" s="11"/>
      <c r="F13" s="11"/>
      <c r="G13" s="11"/>
      <c r="H13" s="11"/>
      <c r="I13" s="2">
        <v>12</v>
      </c>
      <c r="J13" s="58" t="s">
        <v>4</v>
      </c>
      <c r="K13" s="27" t="s">
        <v>101</v>
      </c>
      <c r="L13" s="27" t="s">
        <v>102</v>
      </c>
      <c r="M13" s="16"/>
      <c r="N13" s="16"/>
      <c r="O13" s="16"/>
    </row>
    <row r="14" spans="1:15" ht="34.5" customHeight="1">
      <c r="A14" s="2">
        <v>13</v>
      </c>
      <c r="B14" s="50" t="s">
        <v>42</v>
      </c>
      <c r="C14" s="33"/>
      <c r="D14" s="73" t="s">
        <v>56</v>
      </c>
      <c r="E14" s="74"/>
      <c r="F14" s="74"/>
      <c r="G14" s="11"/>
      <c r="H14" s="11"/>
      <c r="I14" s="2">
        <v>13</v>
      </c>
      <c r="J14" s="58" t="s">
        <v>42</v>
      </c>
      <c r="K14" s="27" t="s">
        <v>125</v>
      </c>
      <c r="L14" s="21"/>
      <c r="M14" s="16"/>
      <c r="N14" s="16"/>
      <c r="O14" s="16"/>
    </row>
    <row r="15" spans="1:15" ht="32.25" customHeight="1">
      <c r="A15" s="2">
        <v>14</v>
      </c>
      <c r="B15" s="50" t="s">
        <v>43</v>
      </c>
      <c r="C15" s="33"/>
      <c r="D15" s="73" t="s">
        <v>57</v>
      </c>
      <c r="E15" s="75"/>
      <c r="F15" s="75"/>
      <c r="G15" s="11"/>
      <c r="H15" s="11"/>
      <c r="I15" s="2">
        <v>14</v>
      </c>
      <c r="J15" s="58" t="s">
        <v>43</v>
      </c>
      <c r="K15" s="27" t="s">
        <v>124</v>
      </c>
      <c r="L15" s="21"/>
      <c r="M15" s="16"/>
      <c r="N15" s="16"/>
      <c r="O15" s="16"/>
    </row>
    <row r="16" spans="1:15" ht="25.5" customHeight="1">
      <c r="A16" s="2">
        <v>15</v>
      </c>
      <c r="B16" s="49" t="s">
        <v>55</v>
      </c>
      <c r="C16" s="33"/>
      <c r="D16" s="57"/>
      <c r="E16" s="76" t="s">
        <v>69</v>
      </c>
      <c r="F16" s="77"/>
      <c r="G16" s="77"/>
      <c r="H16" s="11"/>
      <c r="I16" s="2">
        <v>15</v>
      </c>
      <c r="J16" s="60" t="s">
        <v>55</v>
      </c>
      <c r="K16" s="27" t="s">
        <v>103</v>
      </c>
      <c r="L16" s="27" t="s">
        <v>104</v>
      </c>
      <c r="M16" s="16"/>
      <c r="N16" s="16"/>
      <c r="O16" s="16"/>
    </row>
    <row r="17" spans="1:15" ht="25.5" customHeight="1">
      <c r="A17" s="2">
        <v>16</v>
      </c>
      <c r="B17" s="12" t="s">
        <v>44</v>
      </c>
      <c r="C17" s="52" t="s">
        <v>11</v>
      </c>
      <c r="D17" s="15" t="s">
        <v>1</v>
      </c>
      <c r="E17" s="15" t="s">
        <v>12</v>
      </c>
      <c r="F17" s="13" t="s">
        <v>49</v>
      </c>
      <c r="G17" s="46" t="s">
        <v>50</v>
      </c>
      <c r="H17" s="34"/>
      <c r="I17" s="2">
        <v>16</v>
      </c>
      <c r="J17" s="18" t="s">
        <v>44</v>
      </c>
      <c r="K17" s="17" t="s">
        <v>11</v>
      </c>
      <c r="L17" s="17" t="s">
        <v>1</v>
      </c>
      <c r="M17" s="17" t="s">
        <v>12</v>
      </c>
      <c r="N17" s="19" t="s">
        <v>49</v>
      </c>
      <c r="O17" s="19" t="s">
        <v>50</v>
      </c>
    </row>
    <row r="18" spans="1:15" ht="25.5" customHeight="1">
      <c r="A18" s="2">
        <v>17</v>
      </c>
      <c r="B18" s="14" t="s">
        <v>51</v>
      </c>
      <c r="C18" s="53"/>
      <c r="D18" s="53"/>
      <c r="E18" s="55"/>
      <c r="F18" s="56"/>
      <c r="G18" s="55"/>
      <c r="H18" s="35"/>
      <c r="I18" s="2">
        <v>17</v>
      </c>
      <c r="J18" s="20" t="s">
        <v>51</v>
      </c>
      <c r="K18" s="27" t="s">
        <v>105</v>
      </c>
      <c r="L18" s="27" t="s">
        <v>120</v>
      </c>
      <c r="M18" s="30">
        <v>3</v>
      </c>
      <c r="N18" s="36">
        <v>35983</v>
      </c>
      <c r="O18" s="37">
        <v>2</v>
      </c>
    </row>
    <row r="19" spans="1:15" ht="25.5" customHeight="1">
      <c r="A19" s="2">
        <v>18</v>
      </c>
      <c r="B19" s="14" t="s">
        <v>6</v>
      </c>
      <c r="C19" s="53"/>
      <c r="D19" s="53"/>
      <c r="E19" s="55"/>
      <c r="F19" s="56"/>
      <c r="G19" s="55"/>
      <c r="H19" s="35"/>
      <c r="I19" s="2">
        <v>18</v>
      </c>
      <c r="J19" s="20" t="s">
        <v>6</v>
      </c>
      <c r="K19" s="27" t="s">
        <v>106</v>
      </c>
      <c r="L19" s="27" t="s">
        <v>110</v>
      </c>
      <c r="M19" s="30">
        <v>3</v>
      </c>
      <c r="N19" s="36">
        <v>36015</v>
      </c>
      <c r="O19" s="37">
        <v>3</v>
      </c>
    </row>
    <row r="20" spans="1:15" ht="25.5" customHeight="1">
      <c r="A20" s="2">
        <v>19</v>
      </c>
      <c r="B20" s="14" t="s">
        <v>8</v>
      </c>
      <c r="C20" s="53"/>
      <c r="D20" s="53"/>
      <c r="E20" s="55"/>
      <c r="F20" s="56"/>
      <c r="G20" s="55"/>
      <c r="H20" s="35"/>
      <c r="I20" s="2">
        <v>19</v>
      </c>
      <c r="J20" s="20" t="s">
        <v>8</v>
      </c>
      <c r="K20" s="27" t="s">
        <v>107</v>
      </c>
      <c r="L20" s="27" t="s">
        <v>111</v>
      </c>
      <c r="M20" s="30">
        <v>3</v>
      </c>
      <c r="N20" s="36">
        <v>36047</v>
      </c>
      <c r="O20" s="37">
        <v>5</v>
      </c>
    </row>
    <row r="21" spans="1:15" ht="25.5" customHeight="1">
      <c r="A21" s="2">
        <v>20</v>
      </c>
      <c r="B21" s="14" t="s">
        <v>10</v>
      </c>
      <c r="C21" s="53"/>
      <c r="D21" s="53"/>
      <c r="E21" s="55"/>
      <c r="F21" s="56"/>
      <c r="G21" s="55"/>
      <c r="H21" s="35"/>
      <c r="I21" s="2">
        <v>20</v>
      </c>
      <c r="J21" s="20" t="s">
        <v>10</v>
      </c>
      <c r="K21" s="27" t="s">
        <v>108</v>
      </c>
      <c r="L21" s="27" t="s">
        <v>112</v>
      </c>
      <c r="M21" s="30">
        <v>3</v>
      </c>
      <c r="N21" s="36">
        <v>36078</v>
      </c>
      <c r="O21" s="37">
        <v>9</v>
      </c>
    </row>
    <row r="22" spans="1:15" ht="25.5" customHeight="1">
      <c r="A22" s="2">
        <v>21</v>
      </c>
      <c r="B22" s="14" t="s">
        <v>15</v>
      </c>
      <c r="C22" s="53"/>
      <c r="D22" s="53"/>
      <c r="E22" s="55"/>
      <c r="F22" s="56"/>
      <c r="G22" s="55"/>
      <c r="H22" s="35"/>
      <c r="I22" s="2">
        <v>21</v>
      </c>
      <c r="J22" s="20" t="s">
        <v>15</v>
      </c>
      <c r="K22" s="27" t="s">
        <v>109</v>
      </c>
      <c r="L22" s="27" t="s">
        <v>113</v>
      </c>
      <c r="M22" s="30">
        <v>3</v>
      </c>
      <c r="N22" s="36">
        <v>36110</v>
      </c>
      <c r="O22" s="37">
        <v>10</v>
      </c>
    </row>
    <row r="23" spans="1:15" ht="25.5" customHeight="1">
      <c r="A23" s="2">
        <v>22</v>
      </c>
      <c r="B23" s="14" t="s">
        <v>17</v>
      </c>
      <c r="C23" s="53"/>
      <c r="D23" s="53"/>
      <c r="E23" s="55"/>
      <c r="F23" s="56"/>
      <c r="G23" s="55"/>
      <c r="H23" s="35"/>
      <c r="I23" s="2">
        <v>22</v>
      </c>
      <c r="J23" s="20" t="s">
        <v>17</v>
      </c>
      <c r="K23" s="27"/>
      <c r="L23" s="27"/>
      <c r="M23" s="30"/>
      <c r="N23" s="36"/>
      <c r="O23" s="37"/>
    </row>
    <row r="24" spans="1:15" ht="25.5" customHeight="1">
      <c r="A24" s="2">
        <v>23</v>
      </c>
      <c r="B24" s="14" t="s">
        <v>19</v>
      </c>
      <c r="C24" s="53"/>
      <c r="D24" s="53"/>
      <c r="E24" s="55"/>
      <c r="F24" s="56"/>
      <c r="G24" s="55"/>
      <c r="H24" s="35"/>
      <c r="I24" s="2">
        <v>23</v>
      </c>
      <c r="J24" s="20" t="s">
        <v>19</v>
      </c>
      <c r="K24" s="27"/>
      <c r="L24" s="27"/>
      <c r="M24" s="30"/>
      <c r="N24" s="36"/>
      <c r="O24" s="37"/>
    </row>
    <row r="25" spans="1:15" ht="25.5" customHeight="1">
      <c r="A25" s="2">
        <v>24</v>
      </c>
      <c r="B25" s="14" t="s">
        <v>21</v>
      </c>
      <c r="C25" s="53"/>
      <c r="D25" s="53"/>
      <c r="E25" s="55"/>
      <c r="F25" s="56"/>
      <c r="G25" s="55"/>
      <c r="H25" s="35"/>
      <c r="I25" s="2">
        <v>24</v>
      </c>
      <c r="J25" s="20" t="s">
        <v>21</v>
      </c>
      <c r="K25" s="27"/>
      <c r="L25" s="27"/>
      <c r="M25" s="30"/>
      <c r="N25" s="36"/>
      <c r="O25" s="37"/>
    </row>
    <row r="26" spans="1:15" ht="27.75" customHeight="1">
      <c r="A26" s="2">
        <v>25</v>
      </c>
      <c r="B26" s="47" t="s">
        <v>46</v>
      </c>
      <c r="C26" s="54"/>
      <c r="D26" s="11"/>
      <c r="E26" s="11"/>
      <c r="F26" s="11"/>
      <c r="G26" s="11"/>
      <c r="H26" s="11"/>
      <c r="I26" s="2">
        <v>25</v>
      </c>
      <c r="J26" s="22" t="s">
        <v>46</v>
      </c>
      <c r="K26" s="31">
        <v>41112</v>
      </c>
      <c r="L26" s="16"/>
      <c r="M26" s="16"/>
      <c r="N26" s="16"/>
      <c r="O26" s="16"/>
    </row>
    <row r="27" spans="1:15" ht="22.5" customHeight="1">
      <c r="A27" s="2">
        <v>26</v>
      </c>
      <c r="B27" s="82" t="s">
        <v>65</v>
      </c>
      <c r="C27" s="84"/>
      <c r="D27" s="85"/>
      <c r="E27" s="11"/>
      <c r="F27" s="11"/>
      <c r="G27" s="11"/>
      <c r="H27" s="11"/>
      <c r="I27" s="2">
        <v>26</v>
      </c>
      <c r="J27" s="83" t="s">
        <v>66</v>
      </c>
      <c r="K27" s="78"/>
      <c r="L27" s="79"/>
      <c r="M27" s="16"/>
      <c r="N27" s="16"/>
      <c r="O27" s="16"/>
    </row>
    <row r="28" spans="1:15" ht="22.5" customHeight="1">
      <c r="A28" s="2">
        <v>27</v>
      </c>
      <c r="B28" s="82"/>
      <c r="C28" s="84"/>
      <c r="D28" s="85"/>
      <c r="E28" s="11"/>
      <c r="F28" s="11"/>
      <c r="G28" s="11"/>
      <c r="H28" s="11"/>
      <c r="I28" s="2">
        <v>27</v>
      </c>
      <c r="J28" s="83"/>
      <c r="K28" s="78"/>
      <c r="L28" s="79"/>
      <c r="M28" s="16"/>
      <c r="N28" s="16"/>
      <c r="O28" s="16"/>
    </row>
    <row r="29" spans="1:15" ht="22.5" customHeight="1">
      <c r="A29" s="2">
        <v>28</v>
      </c>
      <c r="B29" s="82"/>
      <c r="C29" s="84"/>
      <c r="D29" s="85"/>
      <c r="E29" s="11"/>
      <c r="F29" s="11"/>
      <c r="G29" s="11"/>
      <c r="H29" s="11"/>
      <c r="I29" s="2">
        <v>28</v>
      </c>
      <c r="J29" s="83"/>
      <c r="K29" s="78"/>
      <c r="L29" s="79"/>
      <c r="M29" s="16"/>
      <c r="N29" s="16"/>
      <c r="O29" s="16"/>
    </row>
    <row r="30" spans="1:15" ht="22.5" customHeight="1">
      <c r="A30" s="2">
        <v>29</v>
      </c>
      <c r="B30" s="82"/>
      <c r="C30" s="84"/>
      <c r="D30" s="85"/>
      <c r="E30" s="11"/>
      <c r="F30" s="11"/>
      <c r="G30" s="11"/>
      <c r="H30" s="11"/>
      <c r="I30" s="2">
        <v>29</v>
      </c>
      <c r="J30" s="83"/>
      <c r="K30" s="78"/>
      <c r="L30" s="79"/>
      <c r="M30" s="16"/>
      <c r="N30" s="16"/>
      <c r="O30" s="16"/>
    </row>
    <row r="31" spans="1:15" ht="29.25" customHeight="1">
      <c r="A31" s="2">
        <v>30</v>
      </c>
      <c r="B31" s="47" t="s">
        <v>60</v>
      </c>
      <c r="C31" s="33"/>
      <c r="D31" s="33"/>
      <c r="E31" s="11"/>
      <c r="F31" s="11"/>
      <c r="G31" s="11"/>
      <c r="H31" s="11"/>
      <c r="I31" s="2">
        <v>30</v>
      </c>
      <c r="J31" s="61" t="s">
        <v>60</v>
      </c>
      <c r="K31" s="27" t="s">
        <v>126</v>
      </c>
      <c r="L31" s="27" t="s">
        <v>127</v>
      </c>
      <c r="M31" s="16"/>
      <c r="N31" s="16"/>
      <c r="O31" s="16"/>
    </row>
    <row r="32" spans="1:15" ht="24">
      <c r="A32" s="2">
        <v>31</v>
      </c>
      <c r="B32" s="47" t="s">
        <v>61</v>
      </c>
      <c r="C32" s="33"/>
      <c r="D32" s="33"/>
      <c r="E32" s="11"/>
      <c r="F32" s="11"/>
      <c r="G32" s="11"/>
      <c r="H32" s="11"/>
      <c r="I32" s="2">
        <v>31</v>
      </c>
      <c r="J32" s="61" t="s">
        <v>61</v>
      </c>
      <c r="K32" s="27"/>
      <c r="L32" s="27"/>
      <c r="M32" s="16"/>
      <c r="N32" s="16"/>
      <c r="O32" s="16"/>
    </row>
    <row r="33" spans="1:15" ht="24">
      <c r="A33" s="2">
        <v>32</v>
      </c>
      <c r="B33" s="47" t="s">
        <v>62</v>
      </c>
      <c r="C33" s="33"/>
      <c r="D33" s="33"/>
      <c r="E33" s="11"/>
      <c r="F33" s="11"/>
      <c r="G33" s="11"/>
      <c r="H33" s="11"/>
      <c r="I33" s="2">
        <v>32</v>
      </c>
      <c r="J33" s="61" t="s">
        <v>62</v>
      </c>
      <c r="K33" s="27"/>
      <c r="L33" s="27"/>
      <c r="M33" s="16"/>
      <c r="N33" s="16"/>
      <c r="O33" s="16"/>
    </row>
    <row r="34" spans="1:15" ht="24">
      <c r="A34" s="2">
        <v>33</v>
      </c>
      <c r="B34" s="47" t="s">
        <v>63</v>
      </c>
      <c r="C34" s="33"/>
      <c r="D34" s="33"/>
      <c r="E34" s="11"/>
      <c r="F34" s="11"/>
      <c r="G34" s="11"/>
      <c r="H34" s="11"/>
      <c r="I34" s="2">
        <v>33</v>
      </c>
      <c r="J34" s="61" t="s">
        <v>63</v>
      </c>
      <c r="K34" s="27"/>
      <c r="L34" s="27"/>
      <c r="M34" s="16"/>
      <c r="N34" s="16"/>
      <c r="O34" s="16"/>
    </row>
    <row r="35" spans="1:15" ht="24">
      <c r="A35" s="2">
        <v>34</v>
      </c>
      <c r="B35" s="47" t="s">
        <v>64</v>
      </c>
      <c r="C35" s="33"/>
      <c r="D35" s="33"/>
      <c r="E35" s="11"/>
      <c r="F35" s="11"/>
      <c r="G35" s="11"/>
      <c r="H35" s="11"/>
      <c r="I35" s="2">
        <v>34</v>
      </c>
      <c r="J35" s="61" t="s">
        <v>64</v>
      </c>
      <c r="K35" s="27"/>
      <c r="L35" s="27"/>
      <c r="M35" s="16"/>
      <c r="N35" s="16"/>
      <c r="O35" s="16"/>
    </row>
  </sheetData>
  <sheetProtection sheet="1" objects="1" scenarios="1" selectLockedCells="1"/>
  <mergeCells count="15">
    <mergeCell ref="C28:D28"/>
    <mergeCell ref="C29:D29"/>
    <mergeCell ref="C30:D30"/>
    <mergeCell ref="K28:L28"/>
    <mergeCell ref="K29:L29"/>
    <mergeCell ref="D14:F14"/>
    <mergeCell ref="D15:F15"/>
    <mergeCell ref="E16:G16"/>
    <mergeCell ref="K27:L27"/>
    <mergeCell ref="K30:L30"/>
    <mergeCell ref="B1:E1"/>
    <mergeCell ref="J1:M1"/>
    <mergeCell ref="B27:B30"/>
    <mergeCell ref="J27:J30"/>
    <mergeCell ref="C27:D27"/>
  </mergeCells>
  <dataValidations count="2">
    <dataValidation type="list" allowBlank="1" showInputMessage="1" showErrorMessage="1" sqref="K4 C4">
      <formula1>"東京都,神奈川県,栃木県,茨城県,群馬県,千葉県,埼玉県,山梨県"</formula1>
    </dataValidation>
    <dataValidation type="list" allowBlank="1" showInputMessage="1" showErrorMessage="1" sqref="K3 C3">
      <formula1>"男子,女子"</formula1>
    </dataValidation>
  </dataValidations>
  <printOptions/>
  <pageMargins left="0.75" right="0.25" top="0.29" bottom="0.25" header="0.28" footer="0.25"/>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H40"/>
  <sheetViews>
    <sheetView showGridLines="0" showOutlineSymbols="0" zoomScalePageLayoutView="0" workbookViewId="0" topLeftCell="A1">
      <selection activeCell="F6" sqref="F6:H6"/>
    </sheetView>
  </sheetViews>
  <sheetFormatPr defaultColWidth="9.00390625" defaultRowHeight="13.5"/>
  <cols>
    <col min="1" max="1" width="9.875" style="2" customWidth="1"/>
    <col min="2" max="2" width="17.50390625" style="2" customWidth="1"/>
    <col min="3" max="3" width="4.75390625" style="2" customWidth="1"/>
    <col min="4" max="4" width="12.50390625" style="2" customWidth="1"/>
    <col min="5" max="5" width="9.875" style="2" customWidth="1"/>
    <col min="6" max="6" width="8.25390625" style="2" customWidth="1"/>
    <col min="7" max="7" width="10.25390625" style="2" customWidth="1"/>
    <col min="8" max="8" width="14.375" style="2" customWidth="1"/>
    <col min="9" max="16384" width="9.00390625" style="2" customWidth="1"/>
  </cols>
  <sheetData>
    <row r="1" spans="1:6" ht="25.5" customHeight="1" thickBot="1">
      <c r="A1" s="1" t="s">
        <v>84</v>
      </c>
      <c r="F1" s="1"/>
    </row>
    <row r="2" spans="1:8" ht="24" customHeight="1" thickBot="1">
      <c r="A2" s="41" t="s">
        <v>68</v>
      </c>
      <c r="B2" s="63" t="str">
        <f>" "&amp;VLOOKUP(1,入力,3)</f>
        <v> </v>
      </c>
      <c r="D2" s="64" t="s">
        <v>31</v>
      </c>
      <c r="E2" s="88" t="str">
        <f>" "&amp;VLOOKUP(2,入力,3)</f>
        <v> </v>
      </c>
      <c r="F2" s="89"/>
      <c r="H2" s="10" t="s">
        <v>85</v>
      </c>
    </row>
    <row r="3" spans="1:8" ht="13.5" customHeight="1">
      <c r="A3" s="6" t="s">
        <v>1</v>
      </c>
      <c r="B3" s="90" t="str">
        <f>"　"&amp;VLOOKUP(4,入力,4)&amp;VLOOKUP(4,入力,6)&amp;VLOOKUP(5,入力,4)</f>
        <v>　りつ　</v>
      </c>
      <c r="C3" s="91"/>
      <c r="D3" s="91"/>
      <c r="E3" s="91"/>
      <c r="F3" s="91"/>
      <c r="G3" s="91"/>
      <c r="H3" s="92"/>
    </row>
    <row r="4" spans="1:8" ht="22.5" customHeight="1">
      <c r="A4" s="7" t="s">
        <v>0</v>
      </c>
      <c r="B4" s="93" t="str">
        <f>" "&amp;VLOOKUP(4,入力,3)&amp;VLOOKUP(4,入力,5)&amp;VLOOKUP(5,入力,3)</f>
        <v> 立　</v>
      </c>
      <c r="C4" s="94"/>
      <c r="D4" s="94"/>
      <c r="E4" s="94"/>
      <c r="F4" s="94"/>
      <c r="G4" s="94"/>
      <c r="H4" s="95"/>
    </row>
    <row r="5" spans="1:8" ht="23.25" customHeight="1">
      <c r="A5" s="133" t="s">
        <v>2</v>
      </c>
      <c r="B5" s="98" t="str">
        <f>" "&amp;VLOOKUP(6,入力,3)</f>
        <v> </v>
      </c>
      <c r="C5" s="99"/>
      <c r="D5" s="99"/>
      <c r="E5" s="108" t="s">
        <v>29</v>
      </c>
      <c r="F5" s="105" t="s">
        <v>28</v>
      </c>
      <c r="G5" s="106"/>
      <c r="H5" s="107"/>
    </row>
    <row r="6" spans="1:8" ht="27.75" customHeight="1">
      <c r="A6" s="134"/>
      <c r="B6" s="100"/>
      <c r="C6" s="101"/>
      <c r="D6" s="101"/>
      <c r="E6" s="109"/>
      <c r="F6" s="87" t="str">
        <f>"電話  "&amp;VLOOKUP(10,入力,3)</f>
        <v>電話  </v>
      </c>
      <c r="G6" s="87"/>
      <c r="H6" s="104"/>
    </row>
    <row r="7" spans="1:8" ht="28.5" customHeight="1">
      <c r="A7" s="135"/>
      <c r="B7" s="102"/>
      <c r="C7" s="103"/>
      <c r="D7" s="103"/>
      <c r="E7" s="110"/>
      <c r="F7" s="96" t="str">
        <f>"FAX  "&amp;VLOOKUP(11,入力,3)</f>
        <v>FAX  </v>
      </c>
      <c r="G7" s="96"/>
      <c r="H7" s="97"/>
    </row>
    <row r="8" spans="1:8" ht="17.25" customHeight="1">
      <c r="A8" s="132" t="s">
        <v>3</v>
      </c>
      <c r="B8" s="24" t="str">
        <f>"〒"&amp;VLOOKUP(7,入力,3)</f>
        <v>〒</v>
      </c>
      <c r="C8" s="111" t="str">
        <f>"(ふりがな)"&amp;VLOOKUP(8,入力,4)&amp;VLOOKUP(9,入力,4)</f>
        <v>(ふりがな)</v>
      </c>
      <c r="D8" s="112"/>
      <c r="E8" s="112"/>
      <c r="F8" s="112"/>
      <c r="G8" s="112"/>
      <c r="H8" s="113"/>
    </row>
    <row r="9" spans="1:8" ht="26.25" customHeight="1">
      <c r="A9" s="132"/>
      <c r="B9" s="93" t="str">
        <f>" "&amp;VLOOKUP(2,入力,3)&amp;VLOOKUP(8,入力,3)&amp;VLOOKUP(9,入力,3)</f>
        <v> </v>
      </c>
      <c r="C9" s="94"/>
      <c r="D9" s="94"/>
      <c r="E9" s="94"/>
      <c r="F9" s="94"/>
      <c r="G9" s="94"/>
      <c r="H9" s="95"/>
    </row>
    <row r="10" spans="1:8" ht="18.75" customHeight="1">
      <c r="A10" s="8" t="s">
        <v>1</v>
      </c>
      <c r="B10" s="118" t="str">
        <f>"  "&amp;VLOOKUP(12,入力,4)</f>
        <v>  </v>
      </c>
      <c r="C10" s="119"/>
      <c r="D10" s="120"/>
      <c r="E10" s="121" t="s">
        <v>27</v>
      </c>
      <c r="F10" s="96" t="str">
        <f>"自宅 "&amp;VLOOKUP(13,入力,3)</f>
        <v>自宅 </v>
      </c>
      <c r="G10" s="96"/>
      <c r="H10" s="97"/>
    </row>
    <row r="11" spans="1:8" ht="23.25" customHeight="1">
      <c r="A11" s="7" t="s">
        <v>4</v>
      </c>
      <c r="B11" s="115" t="str">
        <f>"  "&amp;VLOOKUP(12,入力,3)</f>
        <v>  </v>
      </c>
      <c r="C11" s="116"/>
      <c r="D11" s="117"/>
      <c r="E11" s="122"/>
      <c r="F11" s="96" t="str">
        <f>"携帯 "&amp;VLOOKUP(14,入力,3)</f>
        <v>携帯 </v>
      </c>
      <c r="G11" s="96"/>
      <c r="H11" s="97"/>
    </row>
    <row r="12" spans="1:8" ht="27.75" customHeight="1">
      <c r="A12" s="44" t="s">
        <v>53</v>
      </c>
      <c r="B12" s="136" t="str">
        <f>"  "&amp;VLOOKUP(15,入力,3)</f>
        <v>  </v>
      </c>
      <c r="C12" s="137"/>
      <c r="D12" s="139"/>
      <c r="E12" s="43" t="s">
        <v>54</v>
      </c>
      <c r="F12" s="136" t="str">
        <f>"  "&amp;VLOOKUP(15,入力,4)</f>
        <v>  </v>
      </c>
      <c r="G12" s="137"/>
      <c r="H12" s="138"/>
    </row>
    <row r="13" spans="1:8" ht="24" customHeight="1">
      <c r="A13" s="9" t="s">
        <v>5</v>
      </c>
      <c r="B13" s="3" t="s">
        <v>14</v>
      </c>
      <c r="C13" s="4" t="s">
        <v>12</v>
      </c>
      <c r="D13" s="3" t="s">
        <v>13</v>
      </c>
      <c r="E13" s="38" t="s">
        <v>52</v>
      </c>
      <c r="F13" s="42"/>
      <c r="G13" s="127" t="s">
        <v>58</v>
      </c>
      <c r="H13" s="128"/>
    </row>
    <row r="14" spans="1:8" ht="12" customHeight="1">
      <c r="A14" s="8" t="s">
        <v>1</v>
      </c>
      <c r="B14" s="66" t="str">
        <f>" "&amp;VLOOKUP(17,入力,4)</f>
        <v> </v>
      </c>
      <c r="C14" s="86" t="str">
        <f>" "&amp;VLOOKUP(17,入力,5)</f>
        <v> </v>
      </c>
      <c r="D14" s="5"/>
      <c r="E14" s="5"/>
      <c r="F14" s="42"/>
      <c r="G14" s="48">
        <v>1</v>
      </c>
      <c r="H14" s="67"/>
    </row>
    <row r="15" spans="1:8" ht="21" customHeight="1">
      <c r="A15" s="72" t="s">
        <v>51</v>
      </c>
      <c r="B15" s="65" t="str">
        <f>" "&amp;VLOOKUP(17,入力,3)</f>
        <v> </v>
      </c>
      <c r="C15" s="87"/>
      <c r="D15" s="39">
        <f>IF(VLOOKUP(17,入力,6)="","",VLOOKUP(17,入力,6))</f>
      </c>
      <c r="E15" s="40" t="str">
        <f>" "&amp;VLOOKUP(17,入力,7)</f>
        <v> </v>
      </c>
      <c r="F15" s="42"/>
      <c r="G15" s="93" t="str">
        <f>"  "&amp;VLOOKUP(30,入力,3)</f>
        <v>  </v>
      </c>
      <c r="H15" s="95"/>
    </row>
    <row r="16" spans="1:8" ht="12" customHeight="1">
      <c r="A16" s="8" t="s">
        <v>1</v>
      </c>
      <c r="B16" s="66" t="str">
        <f>" "&amp;VLOOKUP(18,入力,4)</f>
        <v> </v>
      </c>
      <c r="C16" s="86" t="str">
        <f>" "&amp;VLOOKUP(18,入力,5)</f>
        <v> </v>
      </c>
      <c r="D16" s="5"/>
      <c r="E16" s="5"/>
      <c r="F16" s="42"/>
      <c r="G16" s="48">
        <v>2</v>
      </c>
      <c r="H16" s="67"/>
    </row>
    <row r="17" spans="1:8" ht="21" customHeight="1">
      <c r="A17" s="7" t="s">
        <v>7</v>
      </c>
      <c r="B17" s="65" t="str">
        <f>" "&amp;VLOOKUP(18,入力,3)</f>
        <v> </v>
      </c>
      <c r="C17" s="87"/>
      <c r="D17" s="39">
        <f>IF(VLOOKUP(18,入力,6)="","",VLOOKUP(18,入力,6))</f>
      </c>
      <c r="E17" s="40" t="str">
        <f>" "&amp;VLOOKUP(18,入力,7)</f>
        <v> </v>
      </c>
      <c r="F17" s="42"/>
      <c r="G17" s="93" t="str">
        <f>"  "&amp;VLOOKUP(31,入力,3)</f>
        <v>  </v>
      </c>
      <c r="H17" s="95"/>
    </row>
    <row r="18" spans="1:8" ht="12" customHeight="1">
      <c r="A18" s="8" t="s">
        <v>1</v>
      </c>
      <c r="B18" s="66" t="str">
        <f>" "&amp;VLOOKUP(19,入力,4)</f>
        <v> </v>
      </c>
      <c r="C18" s="86" t="str">
        <f>" "&amp;VLOOKUP(19,入力,5)</f>
        <v> </v>
      </c>
      <c r="D18" s="5"/>
      <c r="E18" s="5"/>
      <c r="F18" s="42"/>
      <c r="G18" s="48">
        <v>3</v>
      </c>
      <c r="H18" s="67"/>
    </row>
    <row r="19" spans="1:8" ht="21" customHeight="1">
      <c r="A19" s="7" t="s">
        <v>9</v>
      </c>
      <c r="B19" s="65" t="str">
        <f>" "&amp;VLOOKUP(19,入力,3)</f>
        <v> </v>
      </c>
      <c r="C19" s="87"/>
      <c r="D19" s="39">
        <f>IF(VLOOKUP(19,入力,6)="","",VLOOKUP(19,入力,6))</f>
      </c>
      <c r="E19" s="40" t="str">
        <f>" "&amp;VLOOKUP(19,入力,7)</f>
        <v> </v>
      </c>
      <c r="F19" s="42"/>
      <c r="G19" s="93" t="str">
        <f>"  "&amp;VLOOKUP(32,入力,3)</f>
        <v>  </v>
      </c>
      <c r="H19" s="95"/>
    </row>
    <row r="20" spans="1:8" ht="12" customHeight="1">
      <c r="A20" s="8" t="s">
        <v>1</v>
      </c>
      <c r="B20" s="66" t="str">
        <f>" "&amp;VLOOKUP(20,入力,4)</f>
        <v> </v>
      </c>
      <c r="C20" s="86" t="str">
        <f>" "&amp;VLOOKUP(20,入力,5)</f>
        <v> </v>
      </c>
      <c r="D20" s="5"/>
      <c r="E20" s="5"/>
      <c r="F20" s="42"/>
      <c r="G20" s="48">
        <v>4</v>
      </c>
      <c r="H20" s="67"/>
    </row>
    <row r="21" spans="1:8" ht="21" customHeight="1">
      <c r="A21" s="7" t="s">
        <v>26</v>
      </c>
      <c r="B21" s="65" t="str">
        <f>" "&amp;VLOOKUP(20,入力,3)</f>
        <v> </v>
      </c>
      <c r="C21" s="87"/>
      <c r="D21" s="39">
        <f>IF(VLOOKUP(20,入力,6)="","",VLOOKUP(20,入力,6))</f>
      </c>
      <c r="E21" s="40" t="str">
        <f>" "&amp;VLOOKUP(20,入力,7)</f>
        <v> </v>
      </c>
      <c r="F21" s="42"/>
      <c r="G21" s="93" t="str">
        <f>"  "&amp;VLOOKUP(33,入力,3)</f>
        <v>  </v>
      </c>
      <c r="H21" s="95"/>
    </row>
    <row r="22" spans="1:8" ht="12" customHeight="1">
      <c r="A22" s="8" t="s">
        <v>1</v>
      </c>
      <c r="B22" s="66" t="str">
        <f>" "&amp;VLOOKUP(21,入力,4)</f>
        <v> </v>
      </c>
      <c r="C22" s="86" t="str">
        <f>" "&amp;VLOOKUP(21,入力,5)</f>
        <v> </v>
      </c>
      <c r="D22" s="5"/>
      <c r="E22" s="5"/>
      <c r="F22" s="42"/>
      <c r="G22" s="48">
        <v>5</v>
      </c>
      <c r="H22" s="67"/>
    </row>
    <row r="23" spans="1:8" ht="21" customHeight="1">
      <c r="A23" s="7" t="s">
        <v>16</v>
      </c>
      <c r="B23" s="65" t="str">
        <f>" "&amp;VLOOKUP(21,入力,3)</f>
        <v> </v>
      </c>
      <c r="C23" s="87"/>
      <c r="D23" s="39">
        <f>IF(VLOOKUP(21,入力,6)="","",VLOOKUP(21,入力,6))</f>
      </c>
      <c r="E23" s="40" t="str">
        <f>" "&amp;VLOOKUP(21,入力,7)</f>
        <v> </v>
      </c>
      <c r="F23" s="42"/>
      <c r="G23" s="93" t="str">
        <f>"  "&amp;VLOOKUP(34,入力,3)</f>
        <v>  </v>
      </c>
      <c r="H23" s="95"/>
    </row>
    <row r="24" spans="1:8" ht="12" customHeight="1">
      <c r="A24" s="8" t="s">
        <v>1</v>
      </c>
      <c r="B24" s="66" t="str">
        <f>" "&amp;VLOOKUP(22,入力,4)</f>
        <v> </v>
      </c>
      <c r="C24" s="86" t="str">
        <f>" "&amp;VLOOKUP(22,入力,5)</f>
        <v> </v>
      </c>
      <c r="D24" s="5"/>
      <c r="E24" s="5"/>
      <c r="F24" s="42"/>
      <c r="G24" s="140" t="s">
        <v>59</v>
      </c>
      <c r="H24" s="141"/>
    </row>
    <row r="25" spans="1:8" ht="21" customHeight="1">
      <c r="A25" s="7" t="s">
        <v>18</v>
      </c>
      <c r="B25" s="65" t="str">
        <f>" "&amp;VLOOKUP(22,入力,3)</f>
        <v> </v>
      </c>
      <c r="C25" s="87"/>
      <c r="D25" s="39">
        <f>IF(VLOOKUP(22,入力,6)="","",VLOOKUP(22,入力,6))</f>
      </c>
      <c r="E25" s="40" t="str">
        <f>" "&amp;VLOOKUP(22,入力,7)</f>
        <v> </v>
      </c>
      <c r="F25" s="42"/>
      <c r="G25" s="142"/>
      <c r="H25" s="143"/>
    </row>
    <row r="26" spans="1:8" ht="12" customHeight="1">
      <c r="A26" s="8" t="s">
        <v>1</v>
      </c>
      <c r="B26" s="66" t="str">
        <f>" "&amp;VLOOKUP(23,入力,4)</f>
        <v> </v>
      </c>
      <c r="C26" s="86" t="str">
        <f>" "&amp;VLOOKUP(23,入力,5)</f>
        <v> </v>
      </c>
      <c r="D26" s="5"/>
      <c r="E26" s="5"/>
      <c r="F26" s="42"/>
      <c r="G26" s="142"/>
      <c r="H26" s="143"/>
    </row>
    <row r="27" spans="1:8" ht="21" customHeight="1">
      <c r="A27" s="7" t="s">
        <v>20</v>
      </c>
      <c r="B27" s="65" t="str">
        <f>" "&amp;VLOOKUP(23,入力,3)</f>
        <v> </v>
      </c>
      <c r="C27" s="87"/>
      <c r="D27" s="39">
        <f>IF(VLOOKUP(23,入力,6)="","",VLOOKUP(23,入力,6))</f>
      </c>
      <c r="E27" s="40" t="str">
        <f>" "&amp;VLOOKUP(23,入力,7)</f>
        <v> </v>
      </c>
      <c r="F27" s="42"/>
      <c r="G27" s="142"/>
      <c r="H27" s="143"/>
    </row>
    <row r="28" spans="1:8" ht="12" customHeight="1">
      <c r="A28" s="8" t="s">
        <v>1</v>
      </c>
      <c r="B28" s="66" t="str">
        <f>" "&amp;VLOOKUP(24,入力,4)</f>
        <v> </v>
      </c>
      <c r="C28" s="86" t="str">
        <f>" "&amp;VLOOKUP(24,入力,5)</f>
        <v> </v>
      </c>
      <c r="D28" s="5"/>
      <c r="E28" s="5"/>
      <c r="F28" s="42"/>
      <c r="G28" s="144"/>
      <c r="H28" s="145"/>
    </row>
    <row r="29" spans="1:8" ht="21" customHeight="1">
      <c r="A29" s="7" t="s">
        <v>22</v>
      </c>
      <c r="B29" s="65" t="str">
        <f>" "&amp;VLOOKUP(24,入力,3)</f>
        <v> </v>
      </c>
      <c r="C29" s="87"/>
      <c r="D29" s="39">
        <f>IF(VLOOKUP(24,入力,6)="","",VLOOKUP(24,入力,6))</f>
      </c>
      <c r="E29" s="40" t="str">
        <f>" "&amp;VLOOKUP(24,入力,7)</f>
        <v> </v>
      </c>
      <c r="F29" s="42"/>
      <c r="G29" s="69"/>
      <c r="H29" s="68"/>
    </row>
    <row r="30" spans="1:8" ht="51" customHeight="1">
      <c r="A30" s="129" t="s">
        <v>30</v>
      </c>
      <c r="B30" s="130"/>
      <c r="C30" s="130"/>
      <c r="D30" s="130"/>
      <c r="E30" s="130"/>
      <c r="F30" s="130"/>
      <c r="G30" s="130"/>
      <c r="H30" s="131"/>
    </row>
    <row r="31" spans="1:8" ht="56.25" customHeight="1" thickBot="1">
      <c r="A31" s="124" t="str">
        <f>" "&amp;VLOOKUP(26,入力,3)&amp;"
 "&amp;VLOOKUP(27,入力,3)&amp;"
 "&amp;VLOOKUP(28,入力,3)&amp;"
 "&amp;VLOOKUP(29,入力,3)</f>
        <v> 
 </v>
      </c>
      <c r="B31" s="125"/>
      <c r="C31" s="125"/>
      <c r="D31" s="125"/>
      <c r="E31" s="125"/>
      <c r="F31" s="125"/>
      <c r="G31" s="125"/>
      <c r="H31" s="126"/>
    </row>
    <row r="32" spans="1:8" ht="44.25" customHeight="1">
      <c r="A32" s="123" t="s">
        <v>24</v>
      </c>
      <c r="B32" s="123"/>
      <c r="C32" s="123"/>
      <c r="D32" s="123"/>
      <c r="E32" s="123"/>
      <c r="F32" s="123"/>
      <c r="G32" s="123"/>
      <c r="H32" s="123"/>
    </row>
    <row r="33" ht="9" customHeight="1"/>
    <row r="34" spans="1:8" ht="19.5" customHeight="1">
      <c r="A34" s="2" t="s">
        <v>25</v>
      </c>
      <c r="E34" s="114" t="str">
        <f>IF(VLOOKUP(25,入力,3)="","平成24年　　　月　　日",VLOOKUP(25,入力,3))</f>
        <v>平成24年　　　月　　日</v>
      </c>
      <c r="F34" s="114"/>
      <c r="G34" s="114"/>
      <c r="H34" s="25"/>
    </row>
    <row r="35" ht="6.75" customHeight="1"/>
    <row r="36" spans="1:2" ht="13.5">
      <c r="A36" s="2" t="s">
        <v>23</v>
      </c>
      <c r="B36" s="2" t="s">
        <v>86</v>
      </c>
    </row>
    <row r="37" spans="2:6" ht="13.5">
      <c r="B37" s="2" t="s">
        <v>87</v>
      </c>
      <c r="F37" s="2" t="s">
        <v>91</v>
      </c>
    </row>
    <row r="38" ht="13.5">
      <c r="B38" s="2" t="s">
        <v>88</v>
      </c>
    </row>
    <row r="39" spans="2:5" ht="13.5">
      <c r="B39" s="2" t="s">
        <v>89</v>
      </c>
      <c r="E39" s="2" t="s">
        <v>90</v>
      </c>
    </row>
    <row r="40" ht="13.5">
      <c r="B40" s="2" t="s">
        <v>92</v>
      </c>
    </row>
    <row r="41" ht="7.5" customHeight="1"/>
  </sheetData>
  <sheetProtection sheet="1" selectLockedCells="1"/>
  <mergeCells count="38">
    <mergeCell ref="A30:H30"/>
    <mergeCell ref="A8:A9"/>
    <mergeCell ref="A5:A7"/>
    <mergeCell ref="F12:H12"/>
    <mergeCell ref="B12:D12"/>
    <mergeCell ref="G21:H21"/>
    <mergeCell ref="G23:H23"/>
    <mergeCell ref="G24:H28"/>
    <mergeCell ref="C20:C21"/>
    <mergeCell ref="F10:H10"/>
    <mergeCell ref="E34:G34"/>
    <mergeCell ref="B11:D11"/>
    <mergeCell ref="B10:D10"/>
    <mergeCell ref="E10:E11"/>
    <mergeCell ref="A32:H32"/>
    <mergeCell ref="A31:H31"/>
    <mergeCell ref="G13:H13"/>
    <mergeCell ref="G15:H15"/>
    <mergeCell ref="G17:H17"/>
    <mergeCell ref="G19:H19"/>
    <mergeCell ref="B9:H9"/>
    <mergeCell ref="F6:H6"/>
    <mergeCell ref="F7:H7"/>
    <mergeCell ref="F5:H5"/>
    <mergeCell ref="C22:C23"/>
    <mergeCell ref="C24:C25"/>
    <mergeCell ref="E5:E7"/>
    <mergeCell ref="C8:H8"/>
    <mergeCell ref="C26:C27"/>
    <mergeCell ref="C28:C29"/>
    <mergeCell ref="E2:F2"/>
    <mergeCell ref="C14:C15"/>
    <mergeCell ref="C16:C17"/>
    <mergeCell ref="C18:C19"/>
    <mergeCell ref="B3:H3"/>
    <mergeCell ref="B4:H4"/>
    <mergeCell ref="F11:H11"/>
    <mergeCell ref="B5:D7"/>
  </mergeCells>
  <printOptions/>
  <pageMargins left="0.64" right="0.74" top="0.49" bottom="0.5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40"/>
  <sheetViews>
    <sheetView showRowColHeaders="0" tabSelected="1" showOutlineSymbols="0" zoomScalePageLayoutView="0" workbookViewId="0" topLeftCell="A25">
      <selection activeCell="A39" sqref="A39"/>
    </sheetView>
  </sheetViews>
  <sheetFormatPr defaultColWidth="9.00390625" defaultRowHeight="13.5"/>
  <cols>
    <col min="1" max="1" width="9.875" style="2" customWidth="1"/>
    <col min="2" max="2" width="17.50390625" style="2" customWidth="1"/>
    <col min="3" max="3" width="4.75390625" style="2" customWidth="1"/>
    <col min="4" max="4" width="12.50390625" style="2" customWidth="1"/>
    <col min="5" max="5" width="9.875" style="2" customWidth="1"/>
    <col min="6" max="6" width="8.25390625" style="2" customWidth="1"/>
    <col min="7" max="7" width="10.25390625" style="2" customWidth="1"/>
    <col min="8" max="8" width="14.375" style="2" customWidth="1"/>
    <col min="9" max="16384" width="9.00390625" style="2" customWidth="1"/>
  </cols>
  <sheetData>
    <row r="1" spans="1:6" ht="25.5" customHeight="1" thickBot="1">
      <c r="A1" s="1" t="s">
        <v>84</v>
      </c>
      <c r="F1" s="1"/>
    </row>
    <row r="2" spans="1:8" ht="24" customHeight="1" thickBot="1">
      <c r="A2" s="41" t="s">
        <v>70</v>
      </c>
      <c r="B2" s="63" t="str">
        <f>" "&amp;VLOOKUP(1,サンプル,3)</f>
        <v> 男子</v>
      </c>
      <c r="D2" s="64" t="s">
        <v>31</v>
      </c>
      <c r="E2" s="88" t="str">
        <f>" "&amp;VLOOKUP(2,サンプル,3)</f>
        <v> 東京都</v>
      </c>
      <c r="F2" s="89"/>
      <c r="H2" s="10" t="s">
        <v>119</v>
      </c>
    </row>
    <row r="3" spans="1:8" ht="13.5" customHeight="1">
      <c r="A3" s="6" t="s">
        <v>71</v>
      </c>
      <c r="B3" s="90" t="str">
        <f>"　"&amp;VLOOKUP(4,サンプル,4)&amp;VLOOKUP(4,サンプル,6)&amp;VLOOKUP(5,サンプル,4)</f>
        <v>　あだちくりつ　ひがしあやせちゅうがっこう</v>
      </c>
      <c r="C3" s="91"/>
      <c r="D3" s="91"/>
      <c r="E3" s="91"/>
      <c r="F3" s="91"/>
      <c r="G3" s="91"/>
      <c r="H3" s="92"/>
    </row>
    <row r="4" spans="1:8" ht="22.5" customHeight="1">
      <c r="A4" s="7" t="s">
        <v>0</v>
      </c>
      <c r="B4" s="93" t="str">
        <f>" "&amp;VLOOKUP(4,サンプル,3)&amp;VLOOKUP(4,サンプル,5)&amp;VLOOKUP(5,サンプル,3)</f>
        <v> 足立区立　東綾瀬中学校</v>
      </c>
      <c r="C4" s="94"/>
      <c r="D4" s="94"/>
      <c r="E4" s="94"/>
      <c r="F4" s="94"/>
      <c r="G4" s="94"/>
      <c r="H4" s="95"/>
    </row>
    <row r="5" spans="1:8" ht="23.25" customHeight="1">
      <c r="A5" s="133" t="s">
        <v>2</v>
      </c>
      <c r="B5" s="98" t="str">
        <f>" "&amp;VLOOKUP(6,サンプル,3)</f>
        <v> ○○　太郎</v>
      </c>
      <c r="C5" s="99"/>
      <c r="D5" s="99"/>
      <c r="E5" s="108" t="s">
        <v>29</v>
      </c>
      <c r="F5" s="105" t="s">
        <v>28</v>
      </c>
      <c r="G5" s="106"/>
      <c r="H5" s="107"/>
    </row>
    <row r="6" spans="1:8" ht="27.75" customHeight="1">
      <c r="A6" s="134"/>
      <c r="B6" s="100"/>
      <c r="C6" s="101"/>
      <c r="D6" s="101"/>
      <c r="E6" s="109"/>
      <c r="F6" s="87" t="str">
        <f>"電話  "&amp;VLOOKUP(10,サンプル,3)</f>
        <v>電話  ０３－００００－００００</v>
      </c>
      <c r="G6" s="87"/>
      <c r="H6" s="104"/>
    </row>
    <row r="7" spans="1:8" ht="28.5" customHeight="1">
      <c r="A7" s="135"/>
      <c r="B7" s="102"/>
      <c r="C7" s="103"/>
      <c r="D7" s="103"/>
      <c r="E7" s="110"/>
      <c r="F7" s="96" t="str">
        <f>"FAX  "&amp;VLOOKUP(11,サンプル,3)</f>
        <v>FAX  ０３－１１１１－１１１１</v>
      </c>
      <c r="G7" s="96"/>
      <c r="H7" s="97"/>
    </row>
    <row r="8" spans="1:8" ht="17.25" customHeight="1">
      <c r="A8" s="132" t="s">
        <v>3</v>
      </c>
      <c r="B8" s="24" t="str">
        <f>"〒"&amp;VLOOKUP(7,サンプル,3)</f>
        <v>〒１００－００００</v>
      </c>
      <c r="C8" s="111" t="str">
        <f>"(ふりがな)"&amp;VLOOKUP(8,サンプル,4)&amp;VLOOKUP(9,サンプル,4)</f>
        <v>(ふりがな)あだちくひがしあやせ１－１</v>
      </c>
      <c r="D8" s="112"/>
      <c r="E8" s="112"/>
      <c r="F8" s="112"/>
      <c r="G8" s="112"/>
      <c r="H8" s="113"/>
    </row>
    <row r="9" spans="1:8" ht="26.25" customHeight="1">
      <c r="A9" s="132"/>
      <c r="B9" s="93" t="str">
        <f>" "&amp;VLOOKUP(2,サンプル,3)&amp;VLOOKUP(8,サンプル,3)&amp;VLOOKUP(9,サンプル,3)</f>
        <v> 東京都足立区東綾瀬１－１</v>
      </c>
      <c r="C9" s="94"/>
      <c r="D9" s="94"/>
      <c r="E9" s="94"/>
      <c r="F9" s="94"/>
      <c r="G9" s="94"/>
      <c r="H9" s="95"/>
    </row>
    <row r="10" spans="1:8" ht="18.75" customHeight="1">
      <c r="A10" s="8" t="s">
        <v>72</v>
      </c>
      <c r="B10" s="118" t="str">
        <f>"  "&amp;VLOOKUP(12,サンプル,4)</f>
        <v>  あだち　いちろう</v>
      </c>
      <c r="C10" s="119"/>
      <c r="D10" s="120"/>
      <c r="E10" s="121" t="s">
        <v>27</v>
      </c>
      <c r="F10" s="96" t="str">
        <f>"自宅 "&amp;VLOOKUP(13,サンプル,3)</f>
        <v>自宅 ０３－００００－００００</v>
      </c>
      <c r="G10" s="96"/>
      <c r="H10" s="97"/>
    </row>
    <row r="11" spans="1:8" ht="23.25" customHeight="1">
      <c r="A11" s="7" t="s">
        <v>4</v>
      </c>
      <c r="B11" s="115" t="str">
        <f>"  "&amp;VLOOKUP(12,サンプル,3)</f>
        <v>  足立　一郎</v>
      </c>
      <c r="C11" s="116"/>
      <c r="D11" s="117"/>
      <c r="E11" s="122"/>
      <c r="F11" s="96" t="str">
        <f>"携帯 "&amp;VLOOKUP(14,サンプル,3)</f>
        <v>携帯 ０９０－００００－００００</v>
      </c>
      <c r="G11" s="96"/>
      <c r="H11" s="97"/>
    </row>
    <row r="12" spans="1:8" ht="27.75" customHeight="1">
      <c r="A12" s="44" t="s">
        <v>53</v>
      </c>
      <c r="B12" s="136" t="str">
        <f>"  "&amp;VLOOKUP(15,サンプル,3)</f>
        <v>  東京　太郎</v>
      </c>
      <c r="C12" s="137"/>
      <c r="D12" s="139"/>
      <c r="E12" s="43" t="s">
        <v>54</v>
      </c>
      <c r="F12" s="136" t="str">
        <f>"  "&amp;VLOOKUP(15,サンプル,4)</f>
        <v>  港区立東京中学校</v>
      </c>
      <c r="G12" s="137"/>
      <c r="H12" s="138"/>
    </row>
    <row r="13" spans="1:8" ht="24" customHeight="1">
      <c r="A13" s="9" t="s">
        <v>73</v>
      </c>
      <c r="B13" s="3" t="s">
        <v>14</v>
      </c>
      <c r="C13" s="4" t="s">
        <v>12</v>
      </c>
      <c r="D13" s="3" t="s">
        <v>13</v>
      </c>
      <c r="E13" s="38" t="s">
        <v>52</v>
      </c>
      <c r="F13" s="42"/>
      <c r="G13" s="127" t="s">
        <v>58</v>
      </c>
      <c r="H13" s="128"/>
    </row>
    <row r="14" spans="1:8" ht="12" customHeight="1">
      <c r="A14" s="8" t="s">
        <v>72</v>
      </c>
      <c r="B14" s="66" t="str">
        <f>" "&amp;VLOOKUP(17,サンプル,4)</f>
        <v> とうきょう　いちろう</v>
      </c>
      <c r="C14" s="86" t="str">
        <f>" "&amp;VLOOKUP(17,サンプル,5)</f>
        <v> 3</v>
      </c>
      <c r="D14" s="5"/>
      <c r="E14" s="5"/>
      <c r="F14" s="42"/>
      <c r="G14" s="48">
        <v>1</v>
      </c>
      <c r="H14" s="67"/>
    </row>
    <row r="15" spans="1:8" ht="21" customHeight="1">
      <c r="A15" s="7">
        <v>1</v>
      </c>
      <c r="B15" s="65" t="str">
        <f>" "&amp;VLOOKUP(17,サンプル,3)</f>
        <v> 東京　一郎</v>
      </c>
      <c r="C15" s="87"/>
      <c r="D15" s="39">
        <f>IF(VLOOKUP(17,サンプル,6)="","",VLOOKUP(17,サンプル,6))</f>
        <v>35983</v>
      </c>
      <c r="E15" s="40" t="str">
        <f>" "&amp;VLOOKUP(17,サンプル,7)</f>
        <v> 2</v>
      </c>
      <c r="F15" s="42"/>
      <c r="G15" s="93" t="str">
        <f>"  "&amp;VLOOKUP(30,サンプル,3)</f>
        <v>  大田　美江</v>
      </c>
      <c r="H15" s="95"/>
    </row>
    <row r="16" spans="1:8" ht="12" customHeight="1">
      <c r="A16" s="8" t="s">
        <v>72</v>
      </c>
      <c r="B16" s="66" t="str">
        <f>" "&amp;VLOOKUP(18,サンプル,4)</f>
        <v> とうきょう　じろう</v>
      </c>
      <c r="C16" s="86" t="str">
        <f>" "&amp;VLOOKUP(18,サンプル,5)</f>
        <v> 3</v>
      </c>
      <c r="D16" s="5"/>
      <c r="E16" s="5"/>
      <c r="F16" s="42"/>
      <c r="G16" s="48">
        <v>2</v>
      </c>
      <c r="H16" s="67"/>
    </row>
    <row r="17" spans="1:8" ht="21" customHeight="1">
      <c r="A17" s="7" t="s">
        <v>74</v>
      </c>
      <c r="B17" s="65" t="str">
        <f>" "&amp;VLOOKUP(18,サンプル,3)</f>
        <v> 東京　次郎</v>
      </c>
      <c r="C17" s="87"/>
      <c r="D17" s="39">
        <f>IF(VLOOKUP(18,サンプル,6)="","",VLOOKUP(18,サンプル,6))</f>
        <v>36015</v>
      </c>
      <c r="E17" s="40" t="str">
        <f>" "&amp;VLOOKUP(18,サンプル,7)</f>
        <v> 3</v>
      </c>
      <c r="F17" s="42"/>
      <c r="G17" s="93" t="str">
        <f>"  "&amp;VLOOKUP(31,サンプル,3)</f>
        <v>  </v>
      </c>
      <c r="H17" s="95"/>
    </row>
    <row r="18" spans="1:8" ht="12" customHeight="1">
      <c r="A18" s="8" t="s">
        <v>72</v>
      </c>
      <c r="B18" s="66" t="str">
        <f>" "&amp;VLOOKUP(19,サンプル,4)</f>
        <v> とうきょう　さぶろう</v>
      </c>
      <c r="C18" s="86" t="str">
        <f>" "&amp;VLOOKUP(19,サンプル,5)</f>
        <v> 3</v>
      </c>
      <c r="D18" s="5"/>
      <c r="E18" s="5"/>
      <c r="F18" s="42"/>
      <c r="G18" s="48">
        <v>3</v>
      </c>
      <c r="H18" s="67"/>
    </row>
    <row r="19" spans="1:8" ht="21" customHeight="1">
      <c r="A19" s="7" t="s">
        <v>75</v>
      </c>
      <c r="B19" s="65" t="str">
        <f>" "&amp;VLOOKUP(19,サンプル,3)</f>
        <v> 東京　三郎</v>
      </c>
      <c r="C19" s="87"/>
      <c r="D19" s="39">
        <f>IF(VLOOKUP(19,サンプル,6)="","",VLOOKUP(19,サンプル,6))</f>
        <v>36047</v>
      </c>
      <c r="E19" s="40" t="str">
        <f>" "&amp;VLOOKUP(19,サンプル,7)</f>
        <v> 5</v>
      </c>
      <c r="F19" s="42"/>
      <c r="G19" s="93" t="str">
        <f>"  "&amp;VLOOKUP(32,サンプル,3)</f>
        <v>  </v>
      </c>
      <c r="H19" s="95"/>
    </row>
    <row r="20" spans="1:8" ht="12" customHeight="1">
      <c r="A20" s="8" t="s">
        <v>72</v>
      </c>
      <c r="B20" s="66" t="str">
        <f>" "&amp;VLOOKUP(20,サンプル,4)</f>
        <v> とうきょう　しろう</v>
      </c>
      <c r="C20" s="86" t="str">
        <f>" "&amp;VLOOKUP(20,サンプル,5)</f>
        <v> 3</v>
      </c>
      <c r="D20" s="5"/>
      <c r="E20" s="5"/>
      <c r="F20" s="42"/>
      <c r="G20" s="48">
        <v>4</v>
      </c>
      <c r="H20" s="67"/>
    </row>
    <row r="21" spans="1:8" ht="21" customHeight="1">
      <c r="A21" s="7" t="s">
        <v>76</v>
      </c>
      <c r="B21" s="65" t="str">
        <f>" "&amp;VLOOKUP(20,サンプル,3)</f>
        <v> 東京　四郎</v>
      </c>
      <c r="C21" s="87"/>
      <c r="D21" s="39">
        <f>IF(VLOOKUP(20,サンプル,6)="","",VLOOKUP(20,サンプル,6))</f>
        <v>36078</v>
      </c>
      <c r="E21" s="40" t="str">
        <f>" "&amp;VLOOKUP(20,サンプル,7)</f>
        <v> 9</v>
      </c>
      <c r="F21" s="42"/>
      <c r="G21" s="93" t="str">
        <f>"  "&amp;VLOOKUP(33,サンプル,3)</f>
        <v>  </v>
      </c>
      <c r="H21" s="95"/>
    </row>
    <row r="22" spans="1:8" ht="12" customHeight="1">
      <c r="A22" s="8" t="s">
        <v>72</v>
      </c>
      <c r="B22" s="66" t="str">
        <f>" "&amp;VLOOKUP(21,サンプル,4)</f>
        <v> とうきょう　ごろう</v>
      </c>
      <c r="C22" s="86" t="str">
        <f>" "&amp;VLOOKUP(21,サンプル,5)</f>
        <v> 3</v>
      </c>
      <c r="D22" s="5"/>
      <c r="E22" s="5"/>
      <c r="F22" s="42"/>
      <c r="G22" s="48">
        <v>5</v>
      </c>
      <c r="H22" s="67"/>
    </row>
    <row r="23" spans="1:8" ht="21" customHeight="1">
      <c r="A23" s="7" t="s">
        <v>77</v>
      </c>
      <c r="B23" s="65" t="str">
        <f>" "&amp;VLOOKUP(21,サンプル,3)</f>
        <v> 東京　五郎</v>
      </c>
      <c r="C23" s="87"/>
      <c r="D23" s="39">
        <f>IF(VLOOKUP(21,サンプル,6)="","",VLOOKUP(21,サンプル,6))</f>
        <v>36110</v>
      </c>
      <c r="E23" s="40" t="str">
        <f>" "&amp;VLOOKUP(21,サンプル,7)</f>
        <v> 10</v>
      </c>
      <c r="F23" s="42"/>
      <c r="G23" s="93" t="str">
        <f>"  "&amp;VLOOKUP(34,サンプル,3)</f>
        <v>  </v>
      </c>
      <c r="H23" s="95"/>
    </row>
    <row r="24" spans="1:8" ht="12" customHeight="1">
      <c r="A24" s="8" t="s">
        <v>72</v>
      </c>
      <c r="B24" s="66" t="str">
        <f>" "&amp;VLOOKUP(22,サンプル,4)</f>
        <v> </v>
      </c>
      <c r="C24" s="86" t="str">
        <f>" "&amp;VLOOKUP(22,サンプル,5)</f>
        <v> </v>
      </c>
      <c r="D24" s="5"/>
      <c r="E24" s="5"/>
      <c r="F24" s="42"/>
      <c r="G24" s="146" t="s">
        <v>59</v>
      </c>
      <c r="H24" s="147"/>
    </row>
    <row r="25" spans="1:8" ht="21" customHeight="1">
      <c r="A25" s="7" t="s">
        <v>78</v>
      </c>
      <c r="B25" s="65" t="str">
        <f>" "&amp;VLOOKUP(22,サンプル,3)</f>
        <v> </v>
      </c>
      <c r="C25" s="87"/>
      <c r="D25" s="39">
        <f>IF(VLOOKUP(22,サンプル,6)="","",VLOOKUP(22,サンプル,6))</f>
      </c>
      <c r="E25" s="40" t="str">
        <f>" "&amp;VLOOKUP(22,サンプル,7)</f>
        <v> </v>
      </c>
      <c r="F25" s="42"/>
      <c r="G25" s="148"/>
      <c r="H25" s="149"/>
    </row>
    <row r="26" spans="1:8" ht="12" customHeight="1">
      <c r="A26" s="8" t="s">
        <v>79</v>
      </c>
      <c r="B26" s="66" t="str">
        <f>" "&amp;VLOOKUP(23,サンプル,4)</f>
        <v> </v>
      </c>
      <c r="C26" s="86" t="str">
        <f>" "&amp;VLOOKUP(23,サンプル,5)</f>
        <v> </v>
      </c>
      <c r="D26" s="5"/>
      <c r="E26" s="5"/>
      <c r="F26" s="42"/>
      <c r="G26" s="148"/>
      <c r="H26" s="149"/>
    </row>
    <row r="27" spans="1:8" ht="21" customHeight="1">
      <c r="A27" s="7" t="s">
        <v>80</v>
      </c>
      <c r="B27" s="65" t="str">
        <f>" "&amp;VLOOKUP(23,サンプル,3)</f>
        <v> </v>
      </c>
      <c r="C27" s="87"/>
      <c r="D27" s="39">
        <f>IF(VLOOKUP(23,サンプル,6)="","",VLOOKUP(23,サンプル,6))</f>
      </c>
      <c r="E27" s="40" t="str">
        <f>" "&amp;VLOOKUP(23,サンプル,7)</f>
        <v> </v>
      </c>
      <c r="F27" s="42"/>
      <c r="G27" s="148"/>
      <c r="H27" s="149"/>
    </row>
    <row r="28" spans="1:8" ht="12" customHeight="1">
      <c r="A28" s="8" t="s">
        <v>79</v>
      </c>
      <c r="B28" s="66" t="str">
        <f>" "&amp;VLOOKUP(24,サンプル,4)</f>
        <v> </v>
      </c>
      <c r="C28" s="86" t="str">
        <f>" "&amp;VLOOKUP(24,サンプル,5)</f>
        <v> </v>
      </c>
      <c r="D28" s="5"/>
      <c r="E28" s="5"/>
      <c r="F28" s="42"/>
      <c r="G28" s="150"/>
      <c r="H28" s="151"/>
    </row>
    <row r="29" spans="1:8" ht="21" customHeight="1">
      <c r="A29" s="7" t="s">
        <v>81</v>
      </c>
      <c r="B29" s="65" t="str">
        <f>" "&amp;VLOOKUP(24,サンプル,3)</f>
        <v> </v>
      </c>
      <c r="C29" s="87"/>
      <c r="D29" s="39">
        <f>IF(VLOOKUP(24,サンプル,6)="","",VLOOKUP(24,サンプル,6))</f>
      </c>
      <c r="E29" s="40" t="str">
        <f>" "&amp;VLOOKUP(24,サンプル,7)</f>
        <v> </v>
      </c>
      <c r="F29" s="42"/>
      <c r="G29" s="42"/>
      <c r="H29" s="45"/>
    </row>
    <row r="30" spans="1:8" ht="51" customHeight="1">
      <c r="A30" s="129" t="s">
        <v>30</v>
      </c>
      <c r="B30" s="130"/>
      <c r="C30" s="130"/>
      <c r="D30" s="130"/>
      <c r="E30" s="130"/>
      <c r="F30" s="130"/>
      <c r="G30" s="130"/>
      <c r="H30" s="131"/>
    </row>
    <row r="31" spans="1:8" ht="56.25" customHeight="1" thickBot="1">
      <c r="A31" s="124" t="str">
        <f>" "&amp;VLOOKUP(26,サンプル,3)&amp;"
 "&amp;VLOOKUP(27,サンプル,3)&amp;"
 "&amp;VLOOKUP(28,サンプル,3)&amp;"
 "&amp;VLOOKUP(29,サンプル,3)</f>
        <v> 
 </v>
      </c>
      <c r="B31" s="125"/>
      <c r="C31" s="125"/>
      <c r="D31" s="125"/>
      <c r="E31" s="125"/>
      <c r="F31" s="125"/>
      <c r="G31" s="125"/>
      <c r="H31" s="126"/>
    </row>
    <row r="32" spans="1:8" ht="44.25" customHeight="1">
      <c r="A32" s="123" t="s">
        <v>24</v>
      </c>
      <c r="B32" s="123"/>
      <c r="C32" s="123"/>
      <c r="D32" s="123"/>
      <c r="E32" s="123"/>
      <c r="F32" s="123"/>
      <c r="G32" s="123"/>
      <c r="H32" s="123"/>
    </row>
    <row r="33" ht="9" customHeight="1"/>
    <row r="34" spans="1:8" ht="19.5" customHeight="1">
      <c r="A34" s="2" t="s">
        <v>25</v>
      </c>
      <c r="E34" s="114">
        <f>IF(VLOOKUP(25,サンプル,3)="","平成19年　　　月　　日",VLOOKUP(25,サンプル,3))</f>
        <v>41112</v>
      </c>
      <c r="F34" s="114"/>
      <c r="G34" s="114"/>
      <c r="H34" s="25"/>
    </row>
    <row r="35" ht="6.75" customHeight="1"/>
    <row r="36" spans="1:2" ht="13.5">
      <c r="A36" s="2" t="s">
        <v>23</v>
      </c>
      <c r="B36" s="2" t="s">
        <v>116</v>
      </c>
    </row>
    <row r="37" spans="2:6" ht="13.5">
      <c r="B37" s="2" t="s">
        <v>117</v>
      </c>
      <c r="F37" s="2" t="s">
        <v>114</v>
      </c>
    </row>
    <row r="38" ht="13.5">
      <c r="B38" s="2" t="s">
        <v>115</v>
      </c>
    </row>
    <row r="39" spans="2:5" ht="13.5">
      <c r="B39" s="2" t="s">
        <v>89</v>
      </c>
      <c r="E39" s="2" t="s">
        <v>90</v>
      </c>
    </row>
    <row r="40" ht="13.5">
      <c r="B40" s="2" t="s">
        <v>118</v>
      </c>
    </row>
    <row r="41" ht="7.5" customHeight="1"/>
  </sheetData>
  <sheetProtection sheet="1" selectLockedCells="1"/>
  <mergeCells count="38">
    <mergeCell ref="B3:H3"/>
    <mergeCell ref="B4:H4"/>
    <mergeCell ref="F10:H10"/>
    <mergeCell ref="F11:H11"/>
    <mergeCell ref="B5:D7"/>
    <mergeCell ref="E5:E7"/>
    <mergeCell ref="C8:H8"/>
    <mergeCell ref="B9:H9"/>
    <mergeCell ref="F6:H6"/>
    <mergeCell ref="F7:H7"/>
    <mergeCell ref="E2:F2"/>
    <mergeCell ref="C14:C15"/>
    <mergeCell ref="E34:G34"/>
    <mergeCell ref="B11:D11"/>
    <mergeCell ref="B10:D10"/>
    <mergeCell ref="E10:E11"/>
    <mergeCell ref="A32:H32"/>
    <mergeCell ref="A31:H31"/>
    <mergeCell ref="G13:H13"/>
    <mergeCell ref="G15:H15"/>
    <mergeCell ref="F5:H5"/>
    <mergeCell ref="A30:H30"/>
    <mergeCell ref="A8:A9"/>
    <mergeCell ref="A5:A7"/>
    <mergeCell ref="F12:H12"/>
    <mergeCell ref="B12:D12"/>
    <mergeCell ref="G21:H21"/>
    <mergeCell ref="G23:H23"/>
    <mergeCell ref="C22:C23"/>
    <mergeCell ref="C24:C25"/>
    <mergeCell ref="G24:H28"/>
    <mergeCell ref="C20:C21"/>
    <mergeCell ref="G17:H17"/>
    <mergeCell ref="G19:H19"/>
    <mergeCell ref="C26:C27"/>
    <mergeCell ref="C28:C29"/>
    <mergeCell ref="C16:C17"/>
    <mergeCell ref="C18:C19"/>
  </mergeCells>
  <printOptions/>
  <pageMargins left="0.64" right="0.74" top="0.49" bottom="0.5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卓球専門部</dc:creator>
  <cp:keywords/>
  <dc:description/>
  <cp:lastModifiedBy>FJ-USER</cp:lastModifiedBy>
  <cp:lastPrinted>2012-05-09T07:23:56Z</cp:lastPrinted>
  <dcterms:created xsi:type="dcterms:W3CDTF">1997-01-08T22:48:59Z</dcterms:created>
  <dcterms:modified xsi:type="dcterms:W3CDTF">2012-07-24T00:58:22Z</dcterms:modified>
  <cp:category/>
  <cp:version/>
  <cp:contentType/>
  <cp:contentStatus/>
</cp:coreProperties>
</file>